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6855" tabRatio="833" firstSheet="4" activeTab="5"/>
  </bookViews>
  <sheets>
    <sheet name="RZiS LLF LUG " sheetId="2" r:id="rId1"/>
    <sheet name="Sk. spr.z cał.doch. LLF LUG" sheetId="4" r:id="rId2"/>
    <sheet name="Bilans LLF LUG " sheetId="3" r:id="rId3"/>
    <sheet name="Zest.zmian w kap.wł. LLF LUG" sheetId="5" r:id="rId4"/>
    <sheet name="Rach.przep.pienięż LLF LUG" sheetId="6" r:id="rId5"/>
    <sheet name="Wybrane dane finansowe LLF LUG " sheetId="7" r:id="rId6"/>
    <sheet name="Wskaźniki finansowe LLF LUG " sheetId="8" r:id="rId7"/>
    <sheet name="Kursy walut" sheetId="9" r:id="rId8"/>
    <sheet name="Struktura aktywów i pasywów" sheetId="10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C5" i="6" l="1"/>
  <c r="D5" i="6"/>
  <c r="C6" i="6"/>
  <c r="D11" i="6"/>
  <c r="D12" i="6"/>
  <c r="C13" i="6"/>
  <c r="D13" i="6"/>
  <c r="C22" i="6"/>
  <c r="D22" i="6"/>
  <c r="C30" i="6"/>
  <c r="D30" i="6"/>
  <c r="D6" i="6" l="1"/>
  <c r="D17" i="6" s="1"/>
  <c r="D31" i="6" s="1"/>
  <c r="C17" i="6"/>
  <c r="C31" i="6"/>
  <c r="C18" i="6"/>
  <c r="D18" i="6" l="1"/>
  <c r="I14" i="5" l="1"/>
  <c r="J14" i="5"/>
  <c r="G27" i="5"/>
  <c r="F27" i="5"/>
  <c r="E27" i="5"/>
  <c r="D27" i="5"/>
  <c r="C27" i="5"/>
  <c r="C5" i="5" s="1"/>
  <c r="I26" i="5"/>
  <c r="J26" i="5" s="1"/>
  <c r="I25" i="5"/>
  <c r="J25" i="5" s="1"/>
  <c r="I23" i="5"/>
  <c r="J23" i="5" s="1"/>
  <c r="I22" i="5"/>
  <c r="J22" i="5" s="1"/>
  <c r="I21" i="5"/>
  <c r="J21" i="5" s="1"/>
  <c r="I13" i="5"/>
  <c r="J13" i="5" s="1"/>
  <c r="H8" i="5"/>
  <c r="G8" i="5"/>
  <c r="G15" i="5" s="1"/>
  <c r="F8" i="5"/>
  <c r="F15" i="5" s="1"/>
  <c r="E8" i="5"/>
  <c r="E15" i="5" s="1"/>
  <c r="G5" i="5"/>
  <c r="D5" i="5"/>
  <c r="D8" i="5" s="1"/>
  <c r="D15" i="5" s="1"/>
  <c r="B5" i="5"/>
  <c r="I5" i="5" l="1"/>
  <c r="C8" i="5"/>
  <c r="C15" i="5" s="1"/>
  <c r="I8" i="5" l="1"/>
  <c r="J5" i="5"/>
  <c r="J8" i="5" s="1"/>
  <c r="C40" i="3" l="1"/>
  <c r="C38" i="3"/>
  <c r="D35" i="3"/>
  <c r="D41" i="3"/>
  <c r="C41" i="3"/>
  <c r="C35" i="3"/>
  <c r="D40" i="3"/>
  <c r="D29" i="3"/>
  <c r="C29" i="3"/>
  <c r="C28" i="3" s="1"/>
  <c r="D28" i="3"/>
  <c r="C34" i="3" l="1"/>
  <c r="C42" i="3" s="1"/>
  <c r="D26" i="3"/>
  <c r="D21" i="3" s="1"/>
  <c r="C26" i="3"/>
  <c r="C21" i="3" s="1"/>
  <c r="D38" i="3" l="1"/>
  <c r="D34" i="3" s="1"/>
  <c r="D42" i="3" s="1"/>
  <c r="D13" i="3"/>
  <c r="D10" i="3"/>
  <c r="D17" i="3" s="1"/>
  <c r="D12" i="3"/>
  <c r="D4" i="3"/>
  <c r="D7" i="2"/>
  <c r="D4" i="2"/>
  <c r="D27" i="7"/>
  <c r="D22" i="7"/>
  <c r="D21" i="7" s="1"/>
  <c r="D18" i="7"/>
  <c r="D13" i="7"/>
  <c r="D12" i="7"/>
  <c r="D10" i="7"/>
  <c r="D9" i="7"/>
  <c r="D10" i="2" l="1"/>
  <c r="D15" i="2" s="1"/>
  <c r="D18" i="2" s="1"/>
  <c r="D20" i="2" s="1"/>
  <c r="D8" i="7"/>
  <c r="D7" i="7"/>
  <c r="D5" i="7"/>
  <c r="D22" i="2" l="1"/>
  <c r="C15" i="3"/>
  <c r="C13" i="3"/>
  <c r="C12" i="3"/>
  <c r="C10" i="3" s="1"/>
  <c r="C4" i="3"/>
  <c r="H24" i="5" l="1"/>
  <c r="D4" i="4"/>
  <c r="D6" i="4" s="1"/>
  <c r="D8" i="4" s="1"/>
  <c r="D10" i="4" s="1"/>
  <c r="C17" i="3"/>
  <c r="H27" i="5" l="1"/>
  <c r="I24" i="5"/>
  <c r="C7" i="2"/>
  <c r="D35" i="10"/>
  <c r="D36" i="10"/>
  <c r="D37" i="10"/>
  <c r="D38" i="10"/>
  <c r="D34" i="10"/>
  <c r="D33" i="10"/>
  <c r="D32" i="10"/>
  <c r="D29" i="10"/>
  <c r="D30" i="10"/>
  <c r="D28" i="10"/>
  <c r="D27" i="10"/>
  <c r="D26" i="10"/>
  <c r="D22" i="10"/>
  <c r="D23" i="10"/>
  <c r="D24" i="10"/>
  <c r="D21" i="10"/>
  <c r="D20" i="10"/>
  <c r="D19" i="10"/>
  <c r="D14" i="10"/>
  <c r="D15" i="10"/>
  <c r="D13" i="10"/>
  <c r="D12" i="10"/>
  <c r="D11" i="10"/>
  <c r="D6" i="10"/>
  <c r="D7" i="10"/>
  <c r="D8" i="10"/>
  <c r="D9" i="10"/>
  <c r="D5" i="10"/>
  <c r="D16" i="10"/>
  <c r="D10" i="10"/>
  <c r="D4" i="10"/>
  <c r="G35" i="10"/>
  <c r="G37" i="10"/>
  <c r="G38" i="10"/>
  <c r="G34" i="10"/>
  <c r="G33" i="10"/>
  <c r="G32" i="10"/>
  <c r="G29" i="10"/>
  <c r="G30" i="10"/>
  <c r="G28" i="10"/>
  <c r="G27" i="10"/>
  <c r="G26" i="10"/>
  <c r="G24" i="10"/>
  <c r="G21" i="10"/>
  <c r="G22" i="10"/>
  <c r="G23" i="10"/>
  <c r="E31" i="10"/>
  <c r="E25" i="10"/>
  <c r="E18" i="10"/>
  <c r="G20" i="10"/>
  <c r="G19" i="10"/>
  <c r="G15" i="10"/>
  <c r="G13" i="10"/>
  <c r="G12" i="10"/>
  <c r="G11" i="10"/>
  <c r="G6" i="10"/>
  <c r="G7" i="10"/>
  <c r="G8" i="10"/>
  <c r="G9" i="10"/>
  <c r="G5" i="10"/>
  <c r="C31" i="10"/>
  <c r="C25" i="10"/>
  <c r="D25" i="10" s="1"/>
  <c r="C18" i="10"/>
  <c r="E10" i="10"/>
  <c r="E4" i="10"/>
  <c r="G10" i="10"/>
  <c r="G31" i="10" l="1"/>
  <c r="J24" i="5"/>
  <c r="I27" i="5"/>
  <c r="J27" i="5" s="1"/>
  <c r="K27" i="5" s="1"/>
  <c r="G25" i="10"/>
  <c r="E39" i="10"/>
  <c r="C39" i="10"/>
  <c r="G39" i="10" s="1"/>
  <c r="D31" i="10"/>
  <c r="D18" i="10"/>
  <c r="E16" i="10"/>
  <c r="F10" i="10" s="1"/>
  <c r="G18" i="10"/>
  <c r="G4" i="10"/>
  <c r="D39" i="10" l="1"/>
  <c r="F4" i="10"/>
  <c r="G16" i="10"/>
  <c r="F37" i="10"/>
  <c r="F34" i="10"/>
  <c r="F30" i="10"/>
  <c r="F22" i="10"/>
  <c r="F20" i="10"/>
  <c r="F13" i="10"/>
  <c r="F7" i="10"/>
  <c r="F16" i="10"/>
  <c r="F38" i="10"/>
  <c r="F33" i="10"/>
  <c r="F28" i="10"/>
  <c r="F23" i="10"/>
  <c r="F19" i="10"/>
  <c r="F12" i="10"/>
  <c r="F8" i="10"/>
  <c r="F36" i="10"/>
  <c r="F32" i="10"/>
  <c r="F27" i="10"/>
  <c r="F24" i="10"/>
  <c r="F15" i="10"/>
  <c r="F11" i="10"/>
  <c r="F9" i="10"/>
  <c r="F35" i="10"/>
  <c r="F29" i="10"/>
  <c r="F26" i="10"/>
  <c r="F21" i="10"/>
  <c r="F14" i="10"/>
  <c r="F6" i="10"/>
  <c r="F5" i="10"/>
  <c r="F18" i="10"/>
  <c r="F39" i="10"/>
  <c r="F25" i="10"/>
  <c r="F31" i="10"/>
  <c r="C19" i="7"/>
  <c r="G19" i="7" l="1"/>
  <c r="C4" i="2"/>
  <c r="C10" i="2" s="1"/>
  <c r="C15" i="2" s="1"/>
  <c r="C18" i="2" s="1"/>
  <c r="C20" i="2" s="1"/>
  <c r="H12" i="5" l="1"/>
  <c r="C13" i="7"/>
  <c r="C22" i="2"/>
  <c r="C4" i="4" s="1"/>
  <c r="C6" i="4" s="1"/>
  <c r="C8" i="4" s="1"/>
  <c r="C10" i="4" s="1"/>
  <c r="I12" i="5" l="1"/>
  <c r="H15" i="5"/>
  <c r="F19" i="7"/>
  <c r="E19" i="7"/>
  <c r="J12" i="5" l="1"/>
  <c r="J15" i="5" s="1"/>
  <c r="K15" i="5" s="1"/>
  <c r="I15" i="5"/>
  <c r="F22" i="7"/>
  <c r="C22" i="7"/>
  <c r="F28" i="7"/>
  <c r="C28" i="7"/>
  <c r="E28" i="7" s="1"/>
  <c r="D23" i="7"/>
  <c r="F23" i="7" s="1"/>
  <c r="C23" i="7"/>
  <c r="F20" i="7"/>
  <c r="C20" i="7"/>
  <c r="F6" i="7"/>
  <c r="C6" i="7"/>
  <c r="E6" i="7" s="1"/>
  <c r="F5" i="7"/>
  <c r="C5" i="7"/>
  <c r="E5" i="7" l="1"/>
  <c r="C8" i="8"/>
  <c r="E20" i="7"/>
  <c r="G20" i="7"/>
  <c r="E23" i="7"/>
  <c r="E22" i="7"/>
  <c r="G22" i="7"/>
  <c r="F25" i="7" l="1"/>
  <c r="C25" i="7"/>
  <c r="E25" i="7" s="1"/>
  <c r="F18" i="7"/>
  <c r="F17" i="7"/>
  <c r="C17" i="7"/>
  <c r="E17" i="7" s="1"/>
  <c r="C18" i="7"/>
  <c r="E18" i="7" s="1"/>
  <c r="F27" i="7" l="1"/>
  <c r="C27" i="7"/>
  <c r="E27" i="7" s="1"/>
  <c r="C26" i="7"/>
  <c r="C11" i="8" s="1"/>
  <c r="C9" i="7"/>
  <c r="F26" i="7" l="1"/>
  <c r="D11" i="8"/>
  <c r="C24" i="7"/>
  <c r="E24" i="7" s="1"/>
  <c r="E26" i="7"/>
  <c r="E9" i="7"/>
  <c r="C6" i="8"/>
  <c r="F24" i="7"/>
  <c r="C11" i="7"/>
  <c r="C8" i="7"/>
  <c r="E8" i="7" s="1"/>
  <c r="C7" i="7"/>
  <c r="E7" i="7" s="1"/>
  <c r="F8" i="7"/>
  <c r="F7" i="7"/>
  <c r="C21" i="7"/>
  <c r="C16" i="7"/>
  <c r="D16" i="7"/>
  <c r="D12" i="8" s="1"/>
  <c r="E21" i="7" l="1"/>
  <c r="D6" i="8"/>
  <c r="F9" i="7"/>
  <c r="C7" i="8"/>
  <c r="E11" i="7"/>
  <c r="F16" i="7"/>
  <c r="E16" i="7"/>
  <c r="C12" i="8"/>
  <c r="C12" i="7"/>
  <c r="E12" i="7" s="1"/>
  <c r="F21" i="7"/>
  <c r="G21" i="7" l="1"/>
  <c r="F11" i="7"/>
  <c r="D7" i="8"/>
  <c r="F10" i="7"/>
  <c r="F12" i="7"/>
  <c r="C10" i="7"/>
  <c r="E10" i="7" s="1"/>
  <c r="E13" i="7" l="1"/>
  <c r="C10" i="8"/>
  <c r="C9" i="8"/>
  <c r="F13" i="7"/>
  <c r="D8" i="8"/>
  <c r="D9" i="8"/>
  <c r="D10" i="8"/>
  <c r="G10" i="7" l="1"/>
  <c r="G13" i="7"/>
  <c r="G11" i="7"/>
  <c r="G12" i="7" l="1"/>
  <c r="G28" i="7"/>
  <c r="G27" i="7"/>
  <c r="G26" i="7"/>
  <c r="G25" i="7"/>
  <c r="G18" i="7"/>
  <c r="G17" i="7"/>
  <c r="G16" i="7"/>
  <c r="G9" i="7"/>
  <c r="G8" i="7"/>
  <c r="G7" i="7"/>
  <c r="G6" i="7"/>
  <c r="G5" i="7"/>
  <c r="G24" i="7" l="1"/>
</calcChain>
</file>

<file path=xl/sharedStrings.xml><?xml version="1.0" encoding="utf-8"?>
<sst xmlns="http://schemas.openxmlformats.org/spreadsheetml/2006/main" count="231" uniqueCount="152">
  <si>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</si>
  <si>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</si>
  <si>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</si>
  <si>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</si>
  <si>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</si>
  <si>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</si>
  <si>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</si>
  <si>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</si>
  <si>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</si>
  <si>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</si>
  <si>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</si>
  <si>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</si>
  <si>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</si>
  <si>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</si>
  <si>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Zysk (strata) przed opodatkowaniem</t>
  </si>
  <si>
    <t>Podatek dochodowy</t>
  </si>
  <si>
    <t>Zysk (strata) netto</t>
  </si>
  <si>
    <t>Podstawowy za okres obrotowy</t>
  </si>
  <si>
    <t>Rozwodniony za okres obrotowy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</si>
  <si>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</si>
  <si>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</si>
  <si>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</si>
  <si>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</si>
  <si>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</si>
  <si>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</si>
  <si>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</si>
  <si>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</si>
  <si>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</si>
  <si>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</si>
  <si>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</si>
  <si>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 xml:space="preserve">Pozostałe należności 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</si>
  <si>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</si>
  <si>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</si>
  <si>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</si>
  <si>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</si>
  <si>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</si>
  <si>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</si>
  <si>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</si>
  <si>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</si>
  <si>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Pozostałe kapitały</t>
  </si>
  <si>
    <t>Zyski zatrzymane</t>
  </si>
  <si>
    <t>Zobowiązanie długoterminowe</t>
  </si>
  <si>
    <t>Rezerwy z tytułu odroczonego podatku dochodowego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</si>
  <si>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</si>
  <si>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</si>
  <si>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</si>
  <si>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</si>
  <si>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</si>
  <si>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</si>
  <si>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Suma dochodów całkowitych przypadająca na podmiot dominujący</t>
  </si>
  <si>
    <t xml:space="preserve">Kapitały zapasowy ze sprzedaży akcji powyżej ceny nominalnej </t>
  </si>
  <si>
    <t>Kapitał
własny ogółem</t>
  </si>
  <si>
    <t>Dynamika (PLN)</t>
  </si>
  <si>
    <t>2013 PLN</t>
  </si>
  <si>
    <t>2012 PLN</t>
  </si>
  <si>
    <t>2013 EUR</t>
  </si>
  <si>
    <t>2012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</si>
  <si>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</si>
  <si>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</si>
  <si>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</si>
  <si>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</si>
  <si>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</si>
  <si>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</si>
  <si>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</si>
  <si>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</si>
  <si>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</si>
  <si>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</si>
  <si>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</si>
  <si>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</si>
  <si>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</si>
  <si>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</si>
  <si>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</si>
  <si>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</si>
  <si>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</si>
  <si>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</si>
  <si>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</si>
  <si>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</si>
  <si>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</si>
  <si>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</si>
  <si>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</si>
  <si>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</si>
  <si>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</si>
  <si>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II. Korekty razem</t>
  </si>
  <si>
    <t>A. DZIAŁALNOŚĆ OPERACYJNA</t>
  </si>
  <si>
    <t>za okres 01.01.2013 - 31.12.2013</t>
  </si>
  <si>
    <t>za okres 01.01.2012 - 31.12.2012</t>
  </si>
  <si>
    <t>stan na 31.12.2013 r.</t>
  </si>
  <si>
    <t>stan na 31.12.2012 r.</t>
  </si>
  <si>
    <t>dwanaście miesięcy zakończonych 31.12.2013 r.</t>
  </si>
  <si>
    <t>Kapitał własny na dzień  31.12.2012 r.</t>
  </si>
  <si>
    <t>31.12</t>
  </si>
  <si>
    <t>I. Zysk (strata) przed opodatkowaniem</t>
  </si>
  <si>
    <t>(31.12.)</t>
  </si>
  <si>
    <t>1-4 Q</t>
  </si>
  <si>
    <t>Bilans</t>
  </si>
  <si>
    <t>Struktura  [%]</t>
  </si>
  <si>
    <t>Bilans na 31.12.2012       [tys. zł]</t>
  </si>
  <si>
    <t>Dynamika r/r [%]</t>
  </si>
  <si>
    <t>Bilans na 31.12.2013       [tys. zł]</t>
  </si>
  <si>
    <t>Zysk netto za okres sprawozdawczy</t>
  </si>
  <si>
    <t>Zysk (strata) netto za okres sprawozdawczy</t>
  </si>
  <si>
    <t>Zysk (strata) netto na jedną akcję  zwykłą (w zł)</t>
  </si>
  <si>
    <t>Różnice kursowe z przeliczenia jednostek zagranicznych</t>
  </si>
  <si>
    <t>Całkowite dochody ogółem za okres sprawozdawczy</t>
  </si>
  <si>
    <t>Całkowite dochody przypadające na akcjonariuszy Jednostki Dominującej</t>
  </si>
  <si>
    <t>Całkowite dochody przypadające na udziały niesprawujące kontroli</t>
  </si>
  <si>
    <t>Różnice kursowe z konsolidacji</t>
  </si>
  <si>
    <t>Udziały niesprawujące kontroli</t>
  </si>
  <si>
    <t>Zobowiązania z tytułu kredytów, pożyczek oraz innych instrumentów dłużnych</t>
  </si>
  <si>
    <t>Zobowiązania z tytułu świadczeń pracownicznych</t>
  </si>
  <si>
    <t>Dotacje</t>
  </si>
  <si>
    <t>Zyski (straty) z tytułu różnic kursowych</t>
  </si>
  <si>
    <t>Zysk (strata) z działalnosci inwestycyjnej</t>
  </si>
  <si>
    <t>Przychody finansowe netto</t>
  </si>
  <si>
    <t>Zmiana stanu zapasów</t>
  </si>
  <si>
    <t>Zmiana stanu należności handlowych i pozostałych</t>
  </si>
  <si>
    <t>Zmiana stanu zobowiązań, z wyjątkiem kredytów i zabowiązań leasingowych</t>
  </si>
  <si>
    <t>Zmiana stanu dotacji</t>
  </si>
  <si>
    <t>Zmiana stanu rezerw</t>
  </si>
  <si>
    <t>Inne korekty</t>
  </si>
  <si>
    <t>Środki pieniężne wygenerowane na działalności operacyjnej</t>
  </si>
  <si>
    <t>Środki pieniężne netto z działalności operacyjnej</t>
  </si>
  <si>
    <t>Środki pieniężne netto z działalności inwestycyjnej</t>
  </si>
  <si>
    <t>Środki pieniężne netto z działalności finansowej</t>
  </si>
  <si>
    <t>Przepływy pieniężne netto ogółem</t>
  </si>
  <si>
    <t>Środki pieniężne i ich ekwiwalenty na początek okresu</t>
  </si>
  <si>
    <t>Środki pieniężne i ich ekwiwalenty na koniec okresu</t>
  </si>
  <si>
    <t>Niepodzielony wynik finansowy</t>
  </si>
  <si>
    <t>Wynik finansowy bieżącego okresu</t>
  </si>
  <si>
    <t>Kapitał własny akcjonariuszy jednostki dominującej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</si>
  <si>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</si>
  <si>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</si>
  <si>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</si>
  <si>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</si>
  <si>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</si>
  <si>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</si>
  <si>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</si>
  <si>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</si>
  <si>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</si>
  <si>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Kapitał własny na dzień  31.12.2013 r.</t>
  </si>
  <si>
    <t>dwanaście miesięcy zakończonych 31.12.2012 r.</t>
  </si>
  <si>
    <t>Kapitał własny na dzień  01.01.2012 r.</t>
  </si>
  <si>
    <t>B. DZIAŁALNOŚĆ INWESTYCYJNA</t>
  </si>
  <si>
    <t>1. Zbycie wartości niematerialnych oraz rzeczowych aktywów trwałych</t>
  </si>
  <si>
    <t>2. Nabycie wartości niematerialnych oraz rzeczowych aktywów trwałych</t>
  </si>
  <si>
    <t>C. DZIAŁALNOŚĆ FINANSOWA</t>
  </si>
  <si>
    <t>1. Zaciągnięcie kredytów i pożyczek</t>
  </si>
  <si>
    <t>2. Spłaty kredytów i pożyczek</t>
  </si>
  <si>
    <t>3. Dywidendy wypłacone</t>
  </si>
  <si>
    <t>4. Płatności zobowiazań z tytułu umów leasingu finansowego</t>
  </si>
  <si>
    <t>5. Odsetki</t>
  </si>
  <si>
    <t>6. Inne wpływy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</si>
</sst>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808080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rgb="FF808080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double">
        <color theme="0" tint="-0.499984740745262"/>
      </right>
      <top style="thin">
        <color rgb="FF808080"/>
      </top>
      <bottom/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/>
      <right style="double">
        <color rgb="FF808080"/>
      </right>
      <top style="double">
        <color rgb="FF808080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49" fontId="4" fillId="0" borderId="2" xfId="2" applyNumberFormat="1" applyFont="1" applyFill="1" applyBorder="1" applyAlignment="1">
      <alignment vertical="center" wrapText="1"/>
    </xf>
    <xf numFmtId="49" fontId="5" fillId="2" borderId="2" xfId="2" applyNumberFormat="1" applyFont="1" applyFill="1" applyBorder="1" applyAlignment="1">
      <alignment vertical="center" wrapText="1"/>
    </xf>
    <xf numFmtId="49" fontId="3" fillId="3" borderId="2" xfId="2" applyNumberFormat="1" applyFont="1" applyFill="1" applyBorder="1" applyAlignment="1">
      <alignment vertical="center" wrapText="1"/>
    </xf>
    <xf numFmtId="0" fontId="3" fillId="3" borderId="2" xfId="0" applyFont="1" applyFill="1" applyBorder="1"/>
    <xf numFmtId="49" fontId="3" fillId="3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2" borderId="5" xfId="2" applyFont="1" applyFill="1" applyBorder="1"/>
    <xf numFmtId="0" fontId="8" fillId="3" borderId="16" xfId="0" applyFont="1" applyFill="1" applyBorder="1" applyAlignment="1">
      <alignment horizontal="center" vertical="top"/>
    </xf>
    <xf numFmtId="0" fontId="8" fillId="3" borderId="1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164" fontId="9" fillId="0" borderId="28" xfId="0" applyNumberFormat="1" applyFont="1" applyBorder="1" applyAlignment="1">
      <alignment horizontal="center" vertical="center"/>
    </xf>
    <xf numFmtId="4" fontId="0" fillId="0" borderId="0" xfId="0" applyNumberFormat="1"/>
    <xf numFmtId="0" fontId="10" fillId="0" borderId="0" xfId="0" applyFont="1"/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4" fontId="7" fillId="4" borderId="33" xfId="0" applyNumberFormat="1" applyFont="1" applyFill="1" applyBorder="1" applyAlignment="1">
      <alignment horizontal="center" wrapText="1"/>
    </xf>
    <xf numFmtId="0" fontId="6" fillId="4" borderId="36" xfId="0" applyFont="1" applyFill="1" applyBorder="1" applyAlignment="1">
      <alignment horizontal="left" vertical="center"/>
    </xf>
    <xf numFmtId="4" fontId="7" fillId="4" borderId="38" xfId="0" applyNumberFormat="1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justify" vertical="center"/>
    </xf>
    <xf numFmtId="10" fontId="7" fillId="4" borderId="15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justify" vertical="center"/>
    </xf>
    <xf numFmtId="10" fontId="7" fillId="0" borderId="15" xfId="0" applyNumberFormat="1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justify"/>
    </xf>
    <xf numFmtId="0" fontId="6" fillId="4" borderId="36" xfId="0" applyFont="1" applyFill="1" applyBorder="1" applyAlignment="1">
      <alignment horizontal="justify" vertical="center"/>
    </xf>
    <xf numFmtId="10" fontId="7" fillId="4" borderId="37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Border="1" applyAlignment="1"/>
    <xf numFmtId="0" fontId="10" fillId="0" borderId="0" xfId="0" applyFont="1" applyBorder="1" applyAlignment="1"/>
    <xf numFmtId="2" fontId="7" fillId="0" borderId="33" xfId="1" applyNumberFormat="1" applyFont="1" applyFill="1" applyBorder="1" applyAlignment="1">
      <alignment horizontal="center" vertical="center"/>
    </xf>
    <xf numFmtId="2" fontId="7" fillId="4" borderId="33" xfId="1" applyNumberFormat="1" applyFont="1" applyFill="1" applyBorder="1" applyAlignment="1">
      <alignment horizontal="center" vertical="center"/>
    </xf>
    <xf numFmtId="4" fontId="7" fillId="5" borderId="33" xfId="0" applyNumberFormat="1" applyFont="1" applyFill="1" applyBorder="1" applyAlignment="1">
      <alignment horizontal="center" wrapText="1"/>
    </xf>
    <xf numFmtId="10" fontId="7" fillId="4" borderId="33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7" fillId="4" borderId="38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4" xfId="2" applyNumberFormat="1" applyFont="1" applyFill="1" applyBorder="1" applyAlignment="1">
      <alignment horizontal="right" vertical="center" wrapText="1"/>
    </xf>
    <xf numFmtId="3" fontId="3" fillId="3" borderId="3" xfId="2" applyNumberFormat="1" applyFont="1" applyFill="1" applyBorder="1" applyAlignment="1">
      <alignment horizontal="right" vertical="center" wrapText="1"/>
    </xf>
    <xf numFmtId="3" fontId="4" fillId="3" borderId="3" xfId="2" applyNumberFormat="1" applyFont="1" applyFill="1" applyBorder="1" applyAlignment="1">
      <alignment horizontal="right" vertical="center" wrapText="1"/>
    </xf>
    <xf numFmtId="3" fontId="4" fillId="3" borderId="4" xfId="2" applyNumberFormat="1" applyFont="1" applyFill="1" applyBorder="1" applyAlignment="1">
      <alignment horizontal="right" vertical="center" wrapText="1"/>
    </xf>
    <xf numFmtId="3" fontId="3" fillId="3" borderId="6" xfId="2" applyNumberFormat="1" applyFont="1" applyFill="1" applyBorder="1" applyAlignment="1">
      <alignment horizontal="right" vertical="center" wrapText="1"/>
    </xf>
    <xf numFmtId="3" fontId="3" fillId="3" borderId="3" xfId="2" applyNumberFormat="1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 wrapText="1"/>
    </xf>
    <xf numFmtId="3" fontId="4" fillId="0" borderId="4" xfId="2" applyNumberFormat="1" applyFont="1" applyFill="1" applyBorder="1" applyAlignment="1">
      <alignment vertical="center" wrapText="1"/>
    </xf>
    <xf numFmtId="0" fontId="4" fillId="0" borderId="53" xfId="2" applyFont="1" applyBorder="1"/>
    <xf numFmtId="49" fontId="5" fillId="0" borderId="2" xfId="2" applyNumberFormat="1" applyFont="1" applyFill="1" applyBorder="1" applyAlignment="1">
      <alignment vertical="center" wrapText="1"/>
    </xf>
    <xf numFmtId="0" fontId="4" fillId="0" borderId="2" xfId="2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43" fontId="0" fillId="0" borderId="0" xfId="4" applyFont="1"/>
    <xf numFmtId="43" fontId="11" fillId="3" borderId="49" xfId="4" applyFont="1" applyFill="1" applyBorder="1" applyAlignment="1">
      <alignment horizontal="center" vertical="center" wrapText="1"/>
    </xf>
    <xf numFmtId="3" fontId="10" fillId="0" borderId="0" xfId="0" applyNumberFormat="1" applyFont="1"/>
    <xf numFmtId="0" fontId="15" fillId="0" borderId="0" xfId="0" applyFont="1"/>
    <xf numFmtId="4" fontId="3" fillId="3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3" borderId="5" xfId="0" applyNumberFormat="1" applyFont="1" applyFill="1" applyBorder="1" applyAlignment="1" applyProtection="1">
      <alignment horizontal="left" vertical="center" wrapText="1"/>
    </xf>
    <xf numFmtId="4" fontId="17" fillId="0" borderId="0" xfId="0" applyNumberFormat="1" applyFont="1"/>
    <xf numFmtId="4" fontId="10" fillId="0" borderId="0" xfId="0" applyNumberFormat="1" applyFont="1"/>
    <xf numFmtId="0" fontId="3" fillId="0" borderId="58" xfId="2" applyFont="1" applyFill="1" applyBorder="1" applyAlignment="1">
      <alignment horizontal="center" vertical="center" wrapText="1"/>
    </xf>
    <xf numFmtId="49" fontId="3" fillId="2" borderId="59" xfId="2" applyNumberFormat="1" applyFont="1" applyFill="1" applyBorder="1" applyAlignment="1">
      <alignment vertical="center" wrapText="1"/>
    </xf>
    <xf numFmtId="49" fontId="4" fillId="0" borderId="59" xfId="2" applyNumberFormat="1" applyFont="1" applyFill="1" applyBorder="1" applyAlignment="1">
      <alignment horizontal="left" vertical="center" wrapText="1"/>
    </xf>
    <xf numFmtId="49" fontId="3" fillId="2" borderId="59" xfId="2" applyNumberFormat="1" applyFont="1" applyFill="1" applyBorder="1" applyAlignment="1">
      <alignment horizontal="left" vertical="center" wrapText="1"/>
    </xf>
    <xf numFmtId="49" fontId="4" fillId="0" borderId="59" xfId="2" applyNumberFormat="1" applyFont="1" applyFill="1" applyBorder="1" applyAlignment="1">
      <alignment vertical="center" wrapText="1"/>
    </xf>
    <xf numFmtId="49" fontId="3" fillId="0" borderId="59" xfId="2" applyNumberFormat="1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justify" vertical="center" wrapText="1"/>
    </xf>
    <xf numFmtId="0" fontId="4" fillId="0" borderId="59" xfId="0" applyFont="1" applyBorder="1" applyAlignment="1">
      <alignment horizontal="justify" wrapText="1"/>
    </xf>
    <xf numFmtId="3" fontId="3" fillId="2" borderId="61" xfId="2" applyNumberFormat="1" applyFont="1" applyFill="1" applyBorder="1" applyAlignment="1">
      <alignment horizontal="right" vertical="center" wrapText="1"/>
    </xf>
    <xf numFmtId="3" fontId="3" fillId="2" borderId="62" xfId="2" applyNumberFormat="1" applyFont="1" applyFill="1" applyBorder="1" applyAlignment="1">
      <alignment horizontal="right" vertical="center" wrapText="1"/>
    </xf>
    <xf numFmtId="3" fontId="4" fillId="0" borderId="61" xfId="2" applyNumberFormat="1" applyFont="1" applyFill="1" applyBorder="1" applyAlignment="1">
      <alignment horizontal="right" vertical="center" wrapText="1"/>
    </xf>
    <xf numFmtId="3" fontId="4" fillId="0" borderId="62" xfId="2" applyNumberFormat="1" applyFont="1" applyFill="1" applyBorder="1" applyAlignment="1">
      <alignment horizontal="right"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62" xfId="2" applyNumberFormat="1" applyFont="1" applyFill="1" applyBorder="1" applyAlignment="1">
      <alignment horizontal="right" vertical="center" wrapText="1"/>
    </xf>
    <xf numFmtId="4" fontId="3" fillId="5" borderId="61" xfId="2" applyNumberFormat="1" applyFont="1" applyFill="1" applyBorder="1" applyAlignment="1">
      <alignment horizontal="right" vertical="center" wrapText="1"/>
    </xf>
    <xf numFmtId="4" fontId="3" fillId="5" borderId="62" xfId="2" applyNumberFormat="1" applyFont="1" applyFill="1" applyBorder="1" applyAlignment="1">
      <alignment horizontal="right" vertical="center" wrapText="1"/>
    </xf>
    <xf numFmtId="4" fontId="3" fillId="5" borderId="63" xfId="2" applyNumberFormat="1" applyFont="1" applyFill="1" applyBorder="1" applyAlignment="1">
      <alignment horizontal="right" vertical="center" wrapText="1"/>
    </xf>
    <xf numFmtId="4" fontId="3" fillId="5" borderId="60" xfId="2" applyNumberFormat="1" applyFont="1" applyFill="1" applyBorder="1" applyAlignment="1">
      <alignment horizontal="right" vertical="center" wrapText="1"/>
    </xf>
    <xf numFmtId="0" fontId="4" fillId="0" borderId="64" xfId="0" applyFont="1" applyBorder="1" applyAlignment="1">
      <alignment horizontal="justify" wrapText="1"/>
    </xf>
    <xf numFmtId="0" fontId="3" fillId="7" borderId="61" xfId="2" applyFont="1" applyFill="1" applyBorder="1" applyAlignment="1">
      <alignment horizontal="center" vertical="center" wrapText="1"/>
    </xf>
    <xf numFmtId="0" fontId="3" fillId="7" borderId="62" xfId="2" applyFont="1" applyFill="1" applyBorder="1" applyAlignment="1">
      <alignment horizontal="center" vertical="center" wrapText="1"/>
    </xf>
    <xf numFmtId="0" fontId="3" fillId="7" borderId="44" xfId="2" applyFont="1" applyFill="1" applyBorder="1" applyAlignment="1">
      <alignment horizontal="center" vertical="center" wrapText="1"/>
    </xf>
    <xf numFmtId="0" fontId="3" fillId="7" borderId="45" xfId="2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5" fillId="2" borderId="46" xfId="2" applyNumberFormat="1" applyFont="1" applyFill="1" applyBorder="1" applyAlignment="1">
      <alignment horizontal="right" vertical="center" wrapText="1"/>
    </xf>
    <xf numFmtId="3" fontId="5" fillId="0" borderId="10" xfId="2" applyNumberFormat="1" applyFont="1" applyFill="1" applyBorder="1" applyAlignment="1">
      <alignment horizontal="right" vertical="center" wrapText="1"/>
    </xf>
    <xf numFmtId="3" fontId="5" fillId="0" borderId="46" xfId="2" applyNumberFormat="1" applyFont="1" applyFill="1" applyBorder="1" applyAlignment="1">
      <alignment horizontal="right" vertical="center" wrapText="1"/>
    </xf>
    <xf numFmtId="3" fontId="4" fillId="0" borderId="46" xfId="2" applyNumberFormat="1" applyFont="1" applyFill="1" applyBorder="1" applyAlignment="1">
      <alignment horizontal="right"/>
    </xf>
    <xf numFmtId="3" fontId="4" fillId="0" borderId="54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Border="1" applyAlignment="1">
      <alignment horizontal="right"/>
    </xf>
    <xf numFmtId="3" fontId="13" fillId="3" borderId="6" xfId="2" applyNumberFormat="1" applyFont="1" applyFill="1" applyBorder="1" applyAlignment="1">
      <alignment horizontal="right" vertical="center" wrapText="1"/>
    </xf>
    <xf numFmtId="3" fontId="13" fillId="2" borderId="48" xfId="2" applyNumberFormat="1" applyFont="1" applyFill="1" applyBorder="1" applyAlignment="1">
      <alignment horizontal="right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3" fillId="7" borderId="8" xfId="2" applyFont="1" applyFill="1" applyBorder="1" applyAlignment="1">
      <alignment horizontal="center" vertical="center" wrapText="1"/>
    </xf>
    <xf numFmtId="0" fontId="3" fillId="7" borderId="4" xfId="2" applyFont="1" applyFill="1" applyBorder="1" applyAlignment="1">
      <alignment horizontal="center" vertical="center" wrapText="1"/>
    </xf>
    <xf numFmtId="0" fontId="3" fillId="7" borderId="9" xfId="2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vertical="center" wrapText="1"/>
    </xf>
    <xf numFmtId="3" fontId="3" fillId="3" borderId="7" xfId="2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3" fontId="3" fillId="3" borderId="6" xfId="0" applyNumberFormat="1" applyFont="1" applyFill="1" applyBorder="1" applyAlignment="1" applyProtection="1">
      <alignment horizontal="right" vertical="center"/>
    </xf>
    <xf numFmtId="3" fontId="3" fillId="3" borderId="7" xfId="0" applyNumberFormat="1" applyFont="1" applyFill="1" applyBorder="1" applyAlignment="1" applyProtection="1">
      <alignment horizontal="right" vertical="center"/>
    </xf>
    <xf numFmtId="0" fontId="3" fillId="7" borderId="1" xfId="0" applyFont="1" applyFill="1" applyBorder="1" applyAlignment="1">
      <alignment horizontal="center" vertical="center" wrapText="1"/>
    </xf>
    <xf numFmtId="49" fontId="3" fillId="7" borderId="8" xfId="2" applyNumberFormat="1" applyFont="1" applyFill="1" applyBorder="1" applyAlignment="1">
      <alignment horizontal="center" vertical="center" wrapText="1"/>
    </xf>
    <xf numFmtId="49" fontId="3" fillId="7" borderId="9" xfId="2" applyNumberFormat="1" applyFont="1" applyFill="1" applyBorder="1" applyAlignment="1">
      <alignment horizontal="center" vertical="center" wrapText="1"/>
    </xf>
    <xf numFmtId="0" fontId="18" fillId="0" borderId="59" xfId="3" applyFont="1" applyFill="1" applyBorder="1" applyAlignment="1">
      <alignment vertical="center" wrapText="1"/>
    </xf>
    <xf numFmtId="0" fontId="19" fillId="0" borderId="59" xfId="3" applyFont="1" applyFill="1" applyBorder="1" applyAlignment="1">
      <alignment horizontal="left" vertical="center" wrapText="1" indent="4"/>
    </xf>
    <xf numFmtId="0" fontId="18" fillId="3" borderId="59" xfId="3" applyFont="1" applyFill="1" applyBorder="1" applyAlignment="1">
      <alignment vertical="center" wrapText="1"/>
    </xf>
    <xf numFmtId="0" fontId="9" fillId="0" borderId="59" xfId="0" applyFont="1" applyBorder="1"/>
    <xf numFmtId="0" fontId="11" fillId="3" borderId="59" xfId="0" applyFont="1" applyFill="1" applyBorder="1"/>
    <xf numFmtId="0" fontId="9" fillId="0" borderId="58" xfId="0" applyFont="1" applyFill="1" applyBorder="1"/>
    <xf numFmtId="0" fontId="18" fillId="7" borderId="61" xfId="2" applyFont="1" applyFill="1" applyBorder="1" applyAlignment="1">
      <alignment horizontal="center" vertical="center" wrapText="1"/>
    </xf>
    <xf numFmtId="0" fontId="18" fillId="7" borderId="62" xfId="2" applyFont="1" applyFill="1" applyBorder="1" applyAlignment="1">
      <alignment horizontal="center" vertical="center" wrapText="1"/>
    </xf>
    <xf numFmtId="3" fontId="9" fillId="0" borderId="61" xfId="4" applyNumberFormat="1" applyFont="1" applyBorder="1" applyAlignment="1">
      <alignment horizontal="right" vertical="center"/>
    </xf>
    <xf numFmtId="3" fontId="9" fillId="0" borderId="62" xfId="4" applyNumberFormat="1" applyFont="1" applyBorder="1" applyAlignment="1">
      <alignment horizontal="right" vertical="center"/>
    </xf>
    <xf numFmtId="3" fontId="18" fillId="0" borderId="61" xfId="4" applyNumberFormat="1" applyFont="1" applyFill="1" applyBorder="1" applyAlignment="1">
      <alignment vertical="center" wrapText="1"/>
    </xf>
    <xf numFmtId="3" fontId="18" fillId="0" borderId="62" xfId="4" applyNumberFormat="1" applyFont="1" applyFill="1" applyBorder="1" applyAlignment="1">
      <alignment vertical="center" wrapText="1"/>
    </xf>
    <xf numFmtId="3" fontId="19" fillId="0" borderId="62" xfId="4" applyNumberFormat="1" applyFont="1" applyFill="1" applyBorder="1" applyAlignment="1">
      <alignment horizontal="right" vertical="center"/>
    </xf>
    <xf numFmtId="3" fontId="9" fillId="0" borderId="61" xfId="4" applyNumberFormat="1" applyFont="1" applyFill="1" applyBorder="1" applyAlignment="1">
      <alignment horizontal="right" vertical="center"/>
    </xf>
    <xf numFmtId="3" fontId="9" fillId="0" borderId="62" xfId="4" applyNumberFormat="1" applyFont="1" applyFill="1" applyBorder="1" applyAlignment="1">
      <alignment horizontal="right" vertical="center"/>
    </xf>
    <xf numFmtId="3" fontId="18" fillId="3" borderId="61" xfId="4" applyNumberFormat="1" applyFont="1" applyFill="1" applyBorder="1" applyAlignment="1">
      <alignment vertical="center" wrapText="1"/>
    </xf>
    <xf numFmtId="3" fontId="18" fillId="3" borderId="62" xfId="4" applyNumberFormat="1" applyFont="1" applyFill="1" applyBorder="1" applyAlignment="1">
      <alignment vertical="center" wrapText="1"/>
    </xf>
    <xf numFmtId="3" fontId="9" fillId="0" borderId="61" xfId="0" applyNumberFormat="1" applyFont="1" applyBorder="1"/>
    <xf numFmtId="3" fontId="9" fillId="0" borderId="62" xfId="0" applyNumberFormat="1" applyFont="1" applyBorder="1"/>
    <xf numFmtId="0" fontId="11" fillId="0" borderId="59" xfId="0" applyFont="1" applyBorder="1"/>
    <xf numFmtId="3" fontId="11" fillId="0" borderId="61" xfId="0" applyNumberFormat="1" applyFont="1" applyBorder="1"/>
    <xf numFmtId="3" fontId="11" fillId="0" borderId="62" xfId="0" applyNumberFormat="1" applyFont="1" applyBorder="1"/>
    <xf numFmtId="0" fontId="11" fillId="0" borderId="64" xfId="0" applyFont="1" applyBorder="1"/>
    <xf numFmtId="3" fontId="11" fillId="0" borderId="63" xfId="0" applyNumberFormat="1" applyFont="1" applyBorder="1"/>
    <xf numFmtId="3" fontId="11" fillId="0" borderId="60" xfId="0" applyNumberFormat="1" applyFont="1" applyBorder="1"/>
    <xf numFmtId="3" fontId="11" fillId="3" borderId="61" xfId="0" applyNumberFormat="1" applyFont="1" applyFill="1" applyBorder="1"/>
    <xf numFmtId="3" fontId="11" fillId="3" borderId="62" xfId="0" applyNumberFormat="1" applyFont="1" applyFill="1" applyBorder="1"/>
    <xf numFmtId="0" fontId="11" fillId="6" borderId="59" xfId="0" applyFont="1" applyFill="1" applyBorder="1"/>
    <xf numFmtId="3" fontId="11" fillId="6" borderId="61" xfId="0" applyNumberFormat="1" applyFont="1" applyFill="1" applyBorder="1"/>
    <xf numFmtId="3" fontId="11" fillId="6" borderId="62" xfId="0" applyNumberFormat="1" applyFont="1" applyFill="1" applyBorder="1"/>
    <xf numFmtId="0" fontId="11" fillId="6" borderId="59" xfId="0" applyFont="1" applyFill="1" applyBorder="1" applyAlignment="1">
      <alignment horizontal="left" vertical="center"/>
    </xf>
    <xf numFmtId="3" fontId="9" fillId="6" borderId="61" xfId="0" applyNumberFormat="1" applyFont="1" applyFill="1" applyBorder="1"/>
    <xf numFmtId="3" fontId="9" fillId="6" borderId="62" xfId="0" applyNumberFormat="1" applyFont="1" applyFill="1" applyBorder="1"/>
    <xf numFmtId="0" fontId="18" fillId="6" borderId="59" xfId="3" applyFont="1" applyFill="1" applyBorder="1" applyAlignment="1">
      <alignment vertical="center" wrapText="1"/>
    </xf>
    <xf numFmtId="3" fontId="18" fillId="6" borderId="61" xfId="4" applyNumberFormat="1" applyFont="1" applyFill="1" applyBorder="1" applyAlignment="1">
      <alignment vertical="center" wrapText="1"/>
    </xf>
    <xf numFmtId="3" fontId="18" fillId="6" borderId="62" xfId="4" applyNumberFormat="1" applyFont="1" applyFill="1" applyBorder="1" applyAlignment="1">
      <alignment vertical="center" wrapText="1"/>
    </xf>
    <xf numFmtId="0" fontId="18" fillId="6" borderId="59" xfId="3" applyFont="1" applyFill="1" applyBorder="1" applyAlignment="1">
      <alignment horizontal="left" vertical="center" wrapText="1"/>
    </xf>
    <xf numFmtId="0" fontId="9" fillId="6" borderId="61" xfId="0" applyFont="1" applyFill="1" applyBorder="1"/>
    <xf numFmtId="0" fontId="9" fillId="6" borderId="62" xfId="0" applyFont="1" applyFill="1" applyBorder="1"/>
    <xf numFmtId="3" fontId="7" fillId="0" borderId="15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7" fillId="4" borderId="15" xfId="0" applyNumberFormat="1" applyFont="1" applyFill="1" applyBorder="1" applyAlignment="1">
      <alignment horizontal="right" vertical="center"/>
    </xf>
    <xf numFmtId="3" fontId="7" fillId="4" borderId="17" xfId="0" applyNumberFormat="1" applyFont="1" applyFill="1" applyBorder="1" applyAlignment="1">
      <alignment horizontal="right" vertical="center"/>
    </xf>
    <xf numFmtId="3" fontId="7" fillId="4" borderId="15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7" fillId="4" borderId="37" xfId="0" applyNumberFormat="1" applyFont="1" applyFill="1" applyBorder="1" applyAlignment="1">
      <alignment horizontal="right"/>
    </xf>
    <xf numFmtId="0" fontId="6" fillId="6" borderId="22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43" fontId="11" fillId="7" borderId="50" xfId="4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165" fontId="9" fillId="6" borderId="12" xfId="4" applyNumberFormat="1" applyFont="1" applyFill="1" applyBorder="1" applyAlignment="1">
      <alignment vertical="center"/>
    </xf>
    <xf numFmtId="43" fontId="12" fillId="6" borderId="12" xfId="4" applyFont="1" applyFill="1" applyBorder="1" applyAlignment="1">
      <alignment horizontal="center" vertical="center"/>
    </xf>
    <xf numFmtId="165" fontId="9" fillId="6" borderId="12" xfId="4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43" fontId="11" fillId="6" borderId="12" xfId="4" applyFont="1" applyFill="1" applyBorder="1" applyAlignment="1">
      <alignment horizontal="center" vertical="center" wrapText="1"/>
    </xf>
    <xf numFmtId="43" fontId="11" fillId="6" borderId="25" xfId="4" applyFont="1" applyFill="1" applyBorder="1" applyAlignment="1">
      <alignment horizontal="center" vertical="center" wrapText="1"/>
    </xf>
    <xf numFmtId="49" fontId="3" fillId="3" borderId="23" xfId="2" applyNumberFormat="1" applyFont="1" applyFill="1" applyBorder="1" applyAlignment="1">
      <alignment vertical="center" wrapText="1"/>
    </xf>
    <xf numFmtId="3" fontId="3" fillId="3" borderId="12" xfId="2" applyNumberFormat="1" applyFont="1" applyFill="1" applyBorder="1" applyAlignment="1">
      <alignment horizontal="right" vertical="center" wrapText="1"/>
    </xf>
    <xf numFmtId="43" fontId="3" fillId="3" borderId="12" xfId="4" applyFont="1" applyFill="1" applyBorder="1" applyAlignment="1">
      <alignment horizontal="right" vertical="center" wrapText="1"/>
    </xf>
    <xf numFmtId="43" fontId="3" fillId="3" borderId="25" xfId="4" applyFont="1" applyFill="1" applyBorder="1" applyAlignment="1">
      <alignment horizontal="right" vertical="center" wrapText="1"/>
    </xf>
    <xf numFmtId="49" fontId="4" fillId="0" borderId="23" xfId="2" applyNumberFormat="1" applyFont="1" applyFill="1" applyBorder="1" applyAlignment="1">
      <alignment vertical="center" wrapText="1"/>
    </xf>
    <xf numFmtId="3" fontId="4" fillId="0" borderId="12" xfId="2" applyNumberFormat="1" applyFont="1" applyFill="1" applyBorder="1" applyAlignment="1">
      <alignment horizontal="right" vertical="center" wrapText="1"/>
    </xf>
    <xf numFmtId="43" fontId="4" fillId="0" borderId="12" xfId="4" applyFont="1" applyFill="1" applyBorder="1" applyAlignment="1">
      <alignment horizontal="right" vertical="center" wrapText="1"/>
    </xf>
    <xf numFmtId="43" fontId="4" fillId="0" borderId="25" xfId="4" applyFont="1" applyFill="1" applyBorder="1" applyAlignment="1">
      <alignment horizontal="right" vertical="center" wrapText="1"/>
    </xf>
    <xf numFmtId="0" fontId="3" fillId="3" borderId="23" xfId="0" applyFont="1" applyFill="1" applyBorder="1"/>
    <xf numFmtId="43" fontId="9" fillId="6" borderId="25" xfId="4" applyFont="1" applyFill="1" applyBorder="1" applyAlignment="1">
      <alignment horizontal="center" vertical="center"/>
    </xf>
    <xf numFmtId="3" fontId="3" fillId="3" borderId="12" xfId="2" applyNumberFormat="1" applyFont="1" applyFill="1" applyBorder="1" applyAlignment="1">
      <alignment vertical="center" wrapText="1"/>
    </xf>
    <xf numFmtId="43" fontId="3" fillId="3" borderId="25" xfId="4" applyFont="1" applyFill="1" applyBorder="1" applyAlignment="1">
      <alignment vertical="center" wrapText="1"/>
    </xf>
    <xf numFmtId="3" fontId="4" fillId="0" borderId="12" xfId="2" applyNumberFormat="1" applyFont="1" applyFill="1" applyBorder="1" applyAlignment="1">
      <alignment vertical="center" wrapText="1"/>
    </xf>
    <xf numFmtId="0" fontId="4" fillId="0" borderId="23" xfId="0" applyFont="1" applyBorder="1"/>
    <xf numFmtId="49" fontId="3" fillId="3" borderId="26" xfId="2" applyNumberFormat="1" applyFont="1" applyFill="1" applyBorder="1" applyAlignment="1">
      <alignment vertical="center" wrapText="1"/>
    </xf>
    <xf numFmtId="3" fontId="3" fillId="3" borderId="27" xfId="2" applyNumberFormat="1" applyFont="1" applyFill="1" applyBorder="1" applyAlignment="1">
      <alignment vertical="center" wrapText="1"/>
    </xf>
    <xf numFmtId="43" fontId="3" fillId="3" borderId="27" xfId="4" applyFont="1" applyFill="1" applyBorder="1" applyAlignment="1">
      <alignment horizontal="right" vertical="center" wrapText="1"/>
    </xf>
    <xf numFmtId="43" fontId="3" fillId="3" borderId="28" xfId="4" applyFont="1" applyFill="1" applyBorder="1" applyAlignment="1">
      <alignment vertical="center" wrapText="1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justify"/>
    </xf>
    <xf numFmtId="0" fontId="6" fillId="0" borderId="32" xfId="0" applyFont="1" applyFill="1" applyBorder="1" applyAlignment="1">
      <alignment horizontal="justify"/>
    </xf>
    <xf numFmtId="0" fontId="8" fillId="6" borderId="31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justify" vertical="top"/>
    </xf>
    <xf numFmtId="0" fontId="6" fillId="0" borderId="34" xfId="0" applyFont="1" applyFill="1" applyBorder="1" applyAlignment="1">
      <alignment horizontal="justify" vertical="top"/>
    </xf>
    <xf numFmtId="0" fontId="6" fillId="6" borderId="3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</cellXfs>
  <cellStyles count="5">
    <cellStyle name="Dziesiętny" xfId="4" builtinId="3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\AppData\Local\Temp\tabele-3kw.S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rkusz1"/>
      <sheetName val="wybrane dane finansowe"/>
      <sheetName val="lista standardów"/>
      <sheetName val="RZiS"/>
      <sheetName val="Skr. spr. z cał. dochodów"/>
      <sheetName val="Aktywa"/>
      <sheetName val="Pasywa"/>
      <sheetName val="ZZwK"/>
      <sheetName val="RPP"/>
      <sheetName val="dodatkowe tabelki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Rzeczowe aktywa trwałe"/>
      <sheetName val="NOTA 13 -Wartości niematerialne"/>
      <sheetName val="NOTA 14 -Wartość firmy"/>
      <sheetName val="NOTA 15 - Nieruchomości inwest"/>
      <sheetName val="NOTA 16 -Akcje i udziały"/>
      <sheetName val="NOTA 17 - Poz.akt.trw"/>
      <sheetName val="NOTA 18,19,20 akt.fin+pozostałe"/>
      <sheetName val="NOTA 21 - Zapasy"/>
      <sheetName val="NOTA 22 - Umowy długoterminowe"/>
      <sheetName val="NOTA 23,24 - Należności"/>
      <sheetName val="NOTA 25 - RMK"/>
      <sheetName val="NOTA 26 - Środki pieniężne"/>
      <sheetName val="NOTA 27,28,29,30,31 - Kapitały"/>
      <sheetName val="NOTA 32,33 - Kredyty i pożyczki"/>
      <sheetName val="NOTA 34, 35 -Zob finans"/>
      <sheetName val="NOTA 36 - Inne zob. długoterm."/>
      <sheetName val="NOTA 37,38 - Zob. hand. i pozos"/>
      <sheetName val="NOTA 39,40 - ZFŚS, Zob. warunko"/>
      <sheetName val="NOTA 41 - Leasing"/>
      <sheetName val="NOTA 42 - RMP"/>
      <sheetName val="NOTA 43,44 - Rezerwy"/>
      <sheetName val="NOTA 45 - Zarządzanie ryzykiem"/>
      <sheetName val="NOTA 46 - Instrumenty finansowe"/>
      <sheetName val="NOTA 47 - Zarządzanie kapitałem"/>
      <sheetName val="NOTA 48 Świadczenia pracownicze"/>
      <sheetName val="NOTA 49 - Podmioty powiązane"/>
      <sheetName val="NOTA 50 - Wynagrodzenie kadry "/>
      <sheetName val="NOTA 51 -Umowy leasingu op"/>
      <sheetName val="NOTA 52 - Aktywowane koszty"/>
      <sheetName val="NOTA 53,54,55,56,57,58,59"/>
      <sheetName val="NOTA 60 - Wynagrodzenie BR"/>
      <sheetName val="NOTA 61 - Objasnienia do RPP"/>
      <sheetName val="NOTA 62 - Przejście na MSR,MSSF"/>
      <sheetName val="inne"/>
      <sheetName val="NOTA 56 - Sprawozdanie skonsol."/>
      <sheetName val="Arkusz2"/>
    </sheetNames>
    <sheetDataSet>
      <sheetData sheetId="0" refreshError="1">
        <row r="8">
          <cell r="B8" t="str">
            <v>01.01.2013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J10" sqref="J10"/>
    </sheetView>
  </sheetViews>
  <sheetFormatPr defaultRowHeight="15" x14ac:dyDescent="0.25"/>
  <cols>
    <col min="1" max="1" width="4.140625" customWidth="1"/>
    <col min="2" max="2" width="52.28515625" customWidth="1"/>
    <col min="3" max="4" width="12.5703125" customWidth="1"/>
    <col min="5" max="5" width="9.7109375" bestFit="1" customWidth="1"/>
  </cols>
  <sheetData>
    <row r="1" spans="2:5" ht="15.75" thickBot="1" x14ac:dyDescent="0.3"/>
    <row r="2" spans="2:5" ht="16.5" thickTop="1" thickBot="1" x14ac:dyDescent="0.3">
      <c r="C2" s="191" t="s">
        <v>19</v>
      </c>
      <c r="D2" s="192"/>
      <c r="E2" s="33"/>
    </row>
    <row r="3" spans="2:5" ht="34.5" thickTop="1" x14ac:dyDescent="0.25">
      <c r="B3" s="69"/>
      <c r="C3" s="88" t="s">
        <v>84</v>
      </c>
      <c r="D3" s="89" t="s">
        <v>85</v>
      </c>
    </row>
    <row r="4" spans="2:5" x14ac:dyDescent="0.25">
      <c r="B4" s="70" t="s">
        <v>0</v>
      </c>
      <c r="C4" s="77">
        <f>C5+C6</f>
        <v>102641</v>
      </c>
      <c r="D4" s="78">
        <f>D5+D6</f>
        <v>100159</v>
      </c>
    </row>
    <row r="5" spans="2:5" x14ac:dyDescent="0.25">
      <c r="B5" s="71" t="s">
        <v>1</v>
      </c>
      <c r="C5" s="79">
        <v>81645</v>
      </c>
      <c r="D5" s="80">
        <v>77959</v>
      </c>
    </row>
    <row r="6" spans="2:5" x14ac:dyDescent="0.25">
      <c r="B6" s="71" t="s">
        <v>2</v>
      </c>
      <c r="C6" s="79">
        <v>20996</v>
      </c>
      <c r="D6" s="80">
        <v>22200</v>
      </c>
    </row>
    <row r="7" spans="2:5" x14ac:dyDescent="0.25">
      <c r="B7" s="70" t="s">
        <v>3</v>
      </c>
      <c r="C7" s="77">
        <f>C8+C9</f>
        <v>74335</v>
      </c>
      <c r="D7" s="78">
        <f>D8+D9</f>
        <v>71990</v>
      </c>
    </row>
    <row r="8" spans="2:5" x14ac:dyDescent="0.25">
      <c r="B8" s="71" t="s">
        <v>4</v>
      </c>
      <c r="C8" s="79">
        <v>57005</v>
      </c>
      <c r="D8" s="80">
        <v>53636</v>
      </c>
    </row>
    <row r="9" spans="2:5" x14ac:dyDescent="0.25">
      <c r="B9" s="71" t="s">
        <v>5</v>
      </c>
      <c r="C9" s="79">
        <v>17330</v>
      </c>
      <c r="D9" s="80">
        <v>18354</v>
      </c>
    </row>
    <row r="10" spans="2:5" x14ac:dyDescent="0.25">
      <c r="B10" s="72" t="s">
        <v>6</v>
      </c>
      <c r="C10" s="77">
        <f>C4-C7</f>
        <v>28306</v>
      </c>
      <c r="D10" s="78">
        <f>D4-D7</f>
        <v>28169</v>
      </c>
    </row>
    <row r="11" spans="2:5" x14ac:dyDescent="0.25">
      <c r="B11" s="73" t="s">
        <v>7</v>
      </c>
      <c r="C11" s="79">
        <v>1280</v>
      </c>
      <c r="D11" s="80">
        <v>725</v>
      </c>
    </row>
    <row r="12" spans="2:5" x14ac:dyDescent="0.25">
      <c r="B12" s="73" t="s">
        <v>8</v>
      </c>
      <c r="C12" s="79">
        <v>18529</v>
      </c>
      <c r="D12" s="80">
        <v>17259</v>
      </c>
    </row>
    <row r="13" spans="2:5" x14ac:dyDescent="0.25">
      <c r="B13" s="73" t="s">
        <v>9</v>
      </c>
      <c r="C13" s="79">
        <v>8300</v>
      </c>
      <c r="D13" s="80">
        <v>8754</v>
      </c>
    </row>
    <row r="14" spans="2:5" x14ac:dyDescent="0.25">
      <c r="B14" s="73" t="s">
        <v>10</v>
      </c>
      <c r="C14" s="79">
        <v>158</v>
      </c>
      <c r="D14" s="80">
        <v>249</v>
      </c>
    </row>
    <row r="15" spans="2:5" x14ac:dyDescent="0.25">
      <c r="B15" s="72" t="s">
        <v>11</v>
      </c>
      <c r="C15" s="77">
        <f>C10+C11-C12-C13-C14</f>
        <v>2599</v>
      </c>
      <c r="D15" s="78">
        <f>D10+D11-D12-D13-D14</f>
        <v>2632</v>
      </c>
    </row>
    <row r="16" spans="2:5" x14ac:dyDescent="0.25">
      <c r="B16" s="73" t="s">
        <v>12</v>
      </c>
      <c r="C16" s="79">
        <v>80</v>
      </c>
      <c r="D16" s="80">
        <v>969</v>
      </c>
    </row>
    <row r="17" spans="2:4" x14ac:dyDescent="0.25">
      <c r="B17" s="73" t="s">
        <v>13</v>
      </c>
      <c r="C17" s="79">
        <v>830</v>
      </c>
      <c r="D17" s="80">
        <v>1017</v>
      </c>
    </row>
    <row r="18" spans="2:4" x14ac:dyDescent="0.25">
      <c r="B18" s="72" t="s">
        <v>14</v>
      </c>
      <c r="C18" s="77">
        <f>C15+C16-C17</f>
        <v>1849</v>
      </c>
      <c r="D18" s="78">
        <f>D15+D16-D17</f>
        <v>2584</v>
      </c>
    </row>
    <row r="19" spans="2:4" x14ac:dyDescent="0.25">
      <c r="B19" s="73" t="s">
        <v>15</v>
      </c>
      <c r="C19" s="79">
        <v>7</v>
      </c>
      <c r="D19" s="80">
        <v>13</v>
      </c>
    </row>
    <row r="20" spans="2:4" x14ac:dyDescent="0.25">
      <c r="B20" s="72" t="s">
        <v>100</v>
      </c>
      <c r="C20" s="77">
        <f>C18-C19</f>
        <v>1842</v>
      </c>
      <c r="D20" s="78">
        <f>D18-D19</f>
        <v>2571</v>
      </c>
    </row>
    <row r="21" spans="2:4" x14ac:dyDescent="0.25">
      <c r="B21" s="74"/>
      <c r="C21" s="81"/>
      <c r="D21" s="82"/>
    </row>
    <row r="22" spans="2:4" x14ac:dyDescent="0.25">
      <c r="B22" s="75" t="s">
        <v>101</v>
      </c>
      <c r="C22" s="77">
        <f>C20</f>
        <v>1842</v>
      </c>
      <c r="D22" s="78">
        <f>D20</f>
        <v>2571</v>
      </c>
    </row>
    <row r="23" spans="2:4" x14ac:dyDescent="0.25">
      <c r="B23" s="76" t="s">
        <v>17</v>
      </c>
      <c r="C23" s="83">
        <v>0.17</v>
      </c>
      <c r="D23" s="84">
        <v>0.37</v>
      </c>
    </row>
    <row r="24" spans="2:4" ht="15.75" thickBot="1" x14ac:dyDescent="0.3">
      <c r="B24" s="87" t="s">
        <v>18</v>
      </c>
      <c r="C24" s="85">
        <v>0.17</v>
      </c>
      <c r="D24" s="86">
        <v>0.37</v>
      </c>
    </row>
    <row r="25" spans="2:4" ht="15.75" thickTop="1" x14ac:dyDescent="0.25"/>
  </sheetData>
  <mergeCells count="1">
    <mergeCell ref="C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E8" sqref="E8"/>
    </sheetView>
  </sheetViews>
  <sheetFormatPr defaultRowHeight="15" x14ac:dyDescent="0.25"/>
  <cols>
    <col min="2" max="2" width="61.7109375" customWidth="1"/>
    <col min="3" max="6" width="12.5703125" customWidth="1"/>
  </cols>
  <sheetData>
    <row r="1" spans="2:6" ht="15.75" thickBot="1" x14ac:dyDescent="0.3"/>
    <row r="2" spans="2:6" ht="16.5" thickTop="1" thickBot="1" x14ac:dyDescent="0.3">
      <c r="C2" s="193" t="s">
        <v>19</v>
      </c>
      <c r="D2" s="194"/>
      <c r="E2" s="33"/>
      <c r="F2" s="33"/>
    </row>
    <row r="3" spans="2:6" ht="36.75" customHeight="1" thickTop="1" x14ac:dyDescent="0.25">
      <c r="B3" s="32"/>
      <c r="C3" s="90" t="s">
        <v>84</v>
      </c>
      <c r="D3" s="91" t="s">
        <v>85</v>
      </c>
    </row>
    <row r="4" spans="2:6" x14ac:dyDescent="0.25">
      <c r="B4" s="2" t="s">
        <v>99</v>
      </c>
      <c r="C4" s="92">
        <f>'RZiS LLF LUG '!C22</f>
        <v>1842</v>
      </c>
      <c r="D4" s="92">
        <f>'RZiS LLF LUG '!D22</f>
        <v>2571</v>
      </c>
    </row>
    <row r="5" spans="2:6" x14ac:dyDescent="0.25">
      <c r="B5" s="1" t="s">
        <v>102</v>
      </c>
      <c r="C5" s="44">
        <v>0</v>
      </c>
      <c r="D5" s="93">
        <v>0</v>
      </c>
    </row>
    <row r="6" spans="2:6" x14ac:dyDescent="0.25">
      <c r="B6" s="2" t="s">
        <v>103</v>
      </c>
      <c r="C6" s="92">
        <f>C4</f>
        <v>1842</v>
      </c>
      <c r="D6" s="94">
        <f>D4</f>
        <v>2571</v>
      </c>
    </row>
    <row r="7" spans="2:6" x14ac:dyDescent="0.25">
      <c r="B7" s="54"/>
      <c r="C7" s="95"/>
      <c r="D7" s="96"/>
    </row>
    <row r="8" spans="2:6" x14ac:dyDescent="0.25">
      <c r="B8" s="55" t="s">
        <v>104</v>
      </c>
      <c r="C8" s="44">
        <f>C6</f>
        <v>1842</v>
      </c>
      <c r="D8" s="97">
        <f>D6</f>
        <v>2571</v>
      </c>
    </row>
    <row r="9" spans="2:6" x14ac:dyDescent="0.25">
      <c r="B9" s="53" t="s">
        <v>105</v>
      </c>
      <c r="C9" s="98">
        <v>0</v>
      </c>
      <c r="D9" s="99">
        <v>0</v>
      </c>
    </row>
    <row r="10" spans="2:6" ht="15.75" thickBot="1" x14ac:dyDescent="0.3">
      <c r="B10" s="7" t="s">
        <v>49</v>
      </c>
      <c r="C10" s="100">
        <f>C8</f>
        <v>1842</v>
      </c>
      <c r="D10" s="101">
        <f>D8</f>
        <v>2571</v>
      </c>
    </row>
    <row r="11" spans="2:6" ht="15.75" thickTop="1" x14ac:dyDescent="0.25"/>
  </sheetData>
  <mergeCells count="1">
    <mergeCell ref="C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zoomScaleNormal="100" workbookViewId="0">
      <selection activeCell="F40" sqref="F40"/>
    </sheetView>
  </sheetViews>
  <sheetFormatPr defaultRowHeight="15" x14ac:dyDescent="0.25"/>
  <cols>
    <col min="1" max="1" width="4.42578125" customWidth="1"/>
    <col min="2" max="2" width="55.42578125" customWidth="1"/>
    <col min="3" max="4" width="13.140625" customWidth="1"/>
    <col min="5" max="5" width="19" customWidth="1"/>
  </cols>
  <sheetData>
    <row r="1" spans="2:4" ht="15.75" thickBot="1" x14ac:dyDescent="0.3"/>
    <row r="2" spans="2:4" ht="16.5" thickTop="1" thickBot="1" x14ac:dyDescent="0.3">
      <c r="C2" s="195" t="s">
        <v>19</v>
      </c>
      <c r="D2" s="196"/>
    </row>
    <row r="3" spans="2:4" ht="25.5" customHeight="1" thickTop="1" x14ac:dyDescent="0.25">
      <c r="B3" s="102" t="s">
        <v>34</v>
      </c>
      <c r="C3" s="103" t="s">
        <v>86</v>
      </c>
      <c r="D3" s="104" t="s">
        <v>87</v>
      </c>
    </row>
    <row r="4" spans="2:4" x14ac:dyDescent="0.25">
      <c r="B4" s="3" t="s">
        <v>20</v>
      </c>
      <c r="C4" s="46">
        <f>C5+C6+C7+C8+C9</f>
        <v>30247</v>
      </c>
      <c r="D4" s="46">
        <f>D5+D6+D7+D8+D9</f>
        <v>29011</v>
      </c>
    </row>
    <row r="5" spans="2:4" x14ac:dyDescent="0.25">
      <c r="B5" s="1" t="s">
        <v>21</v>
      </c>
      <c r="C5" s="44">
        <v>27848</v>
      </c>
      <c r="D5" s="45">
        <v>27506</v>
      </c>
    </row>
    <row r="6" spans="2:4" x14ac:dyDescent="0.25">
      <c r="B6" s="1" t="s">
        <v>22</v>
      </c>
      <c r="C6" s="44">
        <v>2289</v>
      </c>
      <c r="D6" s="45">
        <v>1394</v>
      </c>
    </row>
    <row r="7" spans="2:4" x14ac:dyDescent="0.25">
      <c r="B7" s="1" t="s">
        <v>23</v>
      </c>
      <c r="C7" s="44">
        <v>0</v>
      </c>
      <c r="D7" s="45">
        <v>0</v>
      </c>
    </row>
    <row r="8" spans="2:4" x14ac:dyDescent="0.25">
      <c r="B8" s="1" t="s">
        <v>25</v>
      </c>
      <c r="C8" s="44">
        <v>110</v>
      </c>
      <c r="D8" s="45">
        <v>111</v>
      </c>
    </row>
    <row r="9" spans="2:4" x14ac:dyDescent="0.25">
      <c r="B9" s="1" t="s">
        <v>26</v>
      </c>
      <c r="C9" s="44">
        <v>0</v>
      </c>
      <c r="D9" s="45">
        <v>0</v>
      </c>
    </row>
    <row r="10" spans="2:4" x14ac:dyDescent="0.25">
      <c r="B10" s="4" t="s">
        <v>27</v>
      </c>
      <c r="C10" s="46">
        <f>C11+C12+C13+C14+C15</f>
        <v>51255</v>
      </c>
      <c r="D10" s="46">
        <f>D11+D12+D13+D14+D15</f>
        <v>45612</v>
      </c>
    </row>
    <row r="11" spans="2:4" x14ac:dyDescent="0.25">
      <c r="B11" s="1" t="s">
        <v>28</v>
      </c>
      <c r="C11" s="44">
        <v>27255</v>
      </c>
      <c r="D11" s="45">
        <v>23125</v>
      </c>
    </row>
    <row r="12" spans="2:4" x14ac:dyDescent="0.25">
      <c r="B12" s="1" t="s">
        <v>29</v>
      </c>
      <c r="C12" s="44">
        <f>70+16089</f>
        <v>16159</v>
      </c>
      <c r="D12" s="45">
        <f>27+19467</f>
        <v>19494</v>
      </c>
    </row>
    <row r="13" spans="2:4" x14ac:dyDescent="0.25">
      <c r="B13" s="1" t="s">
        <v>30</v>
      </c>
      <c r="C13" s="44">
        <f>916+1147+281+1864</f>
        <v>4208</v>
      </c>
      <c r="D13" s="45">
        <f>108+193+524+1278</f>
        <v>2103</v>
      </c>
    </row>
    <row r="14" spans="2:4" x14ac:dyDescent="0.25">
      <c r="B14" s="1" t="s">
        <v>24</v>
      </c>
      <c r="C14" s="44">
        <v>71</v>
      </c>
      <c r="D14" s="45">
        <v>0</v>
      </c>
    </row>
    <row r="15" spans="2:4" x14ac:dyDescent="0.25">
      <c r="B15" s="1" t="s">
        <v>31</v>
      </c>
      <c r="C15" s="44">
        <f>3562</f>
        <v>3562</v>
      </c>
      <c r="D15" s="45">
        <v>890</v>
      </c>
    </row>
    <row r="16" spans="2:4" x14ac:dyDescent="0.25">
      <c r="B16" s="43" t="s">
        <v>32</v>
      </c>
      <c r="C16" s="47">
        <v>0</v>
      </c>
      <c r="D16" s="48">
        <v>0</v>
      </c>
    </row>
    <row r="17" spans="2:5" ht="15.75" thickBot="1" x14ac:dyDescent="0.3">
      <c r="B17" s="5" t="s">
        <v>33</v>
      </c>
      <c r="C17" s="49">
        <f>C10+C4</f>
        <v>81502</v>
      </c>
      <c r="D17" s="49">
        <f>D10+D4</f>
        <v>74623</v>
      </c>
      <c r="E17" s="16"/>
    </row>
    <row r="18" spans="2:5" ht="16.5" thickTop="1" thickBot="1" x14ac:dyDescent="0.3"/>
    <row r="19" spans="2:5" ht="16.5" thickTop="1" thickBot="1" x14ac:dyDescent="0.3">
      <c r="C19" s="195" t="s">
        <v>19</v>
      </c>
      <c r="D19" s="196"/>
    </row>
    <row r="20" spans="2:5" ht="23.25" thickTop="1" x14ac:dyDescent="0.25">
      <c r="B20" s="102" t="s">
        <v>35</v>
      </c>
      <c r="C20" s="103" t="s">
        <v>86</v>
      </c>
      <c r="D20" s="105" t="s">
        <v>87</v>
      </c>
    </row>
    <row r="21" spans="2:5" x14ac:dyDescent="0.25">
      <c r="B21" s="4" t="s">
        <v>36</v>
      </c>
      <c r="C21" s="50">
        <f>SUM(C22:C27)</f>
        <v>35601</v>
      </c>
      <c r="D21" s="50">
        <f>SUM(D22:D27)</f>
        <v>35225</v>
      </c>
      <c r="E21" s="16"/>
    </row>
    <row r="22" spans="2:5" x14ac:dyDescent="0.25">
      <c r="B22" s="1" t="s">
        <v>37</v>
      </c>
      <c r="C22" s="51">
        <v>28200</v>
      </c>
      <c r="D22" s="52">
        <v>28200</v>
      </c>
    </row>
    <row r="23" spans="2:5" x14ac:dyDescent="0.25">
      <c r="B23" s="1" t="s">
        <v>38</v>
      </c>
      <c r="C23" s="51">
        <v>0</v>
      </c>
      <c r="D23" s="52">
        <v>0</v>
      </c>
    </row>
    <row r="24" spans="2:5" x14ac:dyDescent="0.25">
      <c r="B24" s="1" t="s">
        <v>39</v>
      </c>
      <c r="C24" s="51">
        <v>5865</v>
      </c>
      <c r="D24" s="52">
        <v>4385</v>
      </c>
    </row>
    <row r="25" spans="2:5" x14ac:dyDescent="0.25">
      <c r="B25" s="1" t="s">
        <v>106</v>
      </c>
      <c r="C25" s="51">
        <v>0</v>
      </c>
      <c r="D25" s="52">
        <v>0</v>
      </c>
    </row>
    <row r="26" spans="2:5" x14ac:dyDescent="0.25">
      <c r="B26" s="1" t="s">
        <v>40</v>
      </c>
      <c r="C26" s="51">
        <f>-306+1842</f>
        <v>1536</v>
      </c>
      <c r="D26" s="52">
        <f>69+2571</f>
        <v>2640</v>
      </c>
    </row>
    <row r="27" spans="2:5" x14ac:dyDescent="0.25">
      <c r="B27" s="1" t="s">
        <v>107</v>
      </c>
      <c r="C27" s="51">
        <v>0</v>
      </c>
      <c r="D27" s="52">
        <v>0</v>
      </c>
    </row>
    <row r="28" spans="2:5" x14ac:dyDescent="0.25">
      <c r="B28" s="4" t="s">
        <v>41</v>
      </c>
      <c r="C28" s="50">
        <f>SUM(C29:C33)</f>
        <v>3931</v>
      </c>
      <c r="D28" s="50">
        <f>SUM(D29:D33)</f>
        <v>3746</v>
      </c>
      <c r="E28" s="16"/>
    </row>
    <row r="29" spans="2:5" ht="22.5" x14ac:dyDescent="0.25">
      <c r="B29" s="1" t="s">
        <v>108</v>
      </c>
      <c r="C29" s="51">
        <f>1851+1381</f>
        <v>3232</v>
      </c>
      <c r="D29" s="52">
        <f>1813+1098</f>
        <v>2911</v>
      </c>
    </row>
    <row r="30" spans="2:5" x14ac:dyDescent="0.25">
      <c r="B30" s="1" t="s">
        <v>109</v>
      </c>
      <c r="C30" s="51">
        <v>82</v>
      </c>
      <c r="D30" s="52">
        <v>74</v>
      </c>
    </row>
    <row r="31" spans="2:5" x14ac:dyDescent="0.25">
      <c r="B31" s="1" t="s">
        <v>110</v>
      </c>
      <c r="C31" s="51">
        <v>466</v>
      </c>
      <c r="D31" s="52">
        <v>617</v>
      </c>
    </row>
    <row r="32" spans="2:5" ht="15.75" customHeight="1" x14ac:dyDescent="0.25">
      <c r="B32" s="1" t="s">
        <v>42</v>
      </c>
      <c r="C32" s="51">
        <v>151</v>
      </c>
      <c r="D32" s="52">
        <v>144</v>
      </c>
    </row>
    <row r="33" spans="2:4" x14ac:dyDescent="0.25">
      <c r="B33" s="1" t="s">
        <v>43</v>
      </c>
      <c r="C33" s="51">
        <v>0</v>
      </c>
      <c r="D33" s="52"/>
    </row>
    <row r="34" spans="2:4" x14ac:dyDescent="0.25">
      <c r="B34" s="4" t="s">
        <v>44</v>
      </c>
      <c r="C34" s="50">
        <f>SUM(C35:C41)</f>
        <v>41970</v>
      </c>
      <c r="D34" s="50">
        <f>SUM(D35:D41)</f>
        <v>35652</v>
      </c>
    </row>
    <row r="35" spans="2:4" ht="22.5" x14ac:dyDescent="0.25">
      <c r="B35" s="1" t="s">
        <v>108</v>
      </c>
      <c r="C35" s="51">
        <f>12096+3123</f>
        <v>15219</v>
      </c>
      <c r="D35" s="52">
        <f>10192+1049</f>
        <v>11241</v>
      </c>
    </row>
    <row r="36" spans="2:4" x14ac:dyDescent="0.25">
      <c r="B36" s="1" t="s">
        <v>109</v>
      </c>
      <c r="C36" s="51">
        <v>168</v>
      </c>
      <c r="D36" s="52">
        <v>161</v>
      </c>
    </row>
    <row r="37" spans="2:4" x14ac:dyDescent="0.25">
      <c r="B37" s="1" t="s">
        <v>110</v>
      </c>
      <c r="C37" s="51">
        <v>151</v>
      </c>
      <c r="D37" s="52">
        <v>182</v>
      </c>
    </row>
    <row r="38" spans="2:4" x14ac:dyDescent="0.25">
      <c r="B38" s="1" t="s">
        <v>45</v>
      </c>
      <c r="C38" s="51">
        <f>812+22399</f>
        <v>23211</v>
      </c>
      <c r="D38" s="52">
        <f>523+20127</f>
        <v>20650</v>
      </c>
    </row>
    <row r="39" spans="2:4" x14ac:dyDescent="0.25">
      <c r="B39" s="6" t="s">
        <v>46</v>
      </c>
      <c r="C39" s="51">
        <v>470</v>
      </c>
      <c r="D39" s="52">
        <v>0</v>
      </c>
    </row>
    <row r="40" spans="2:4" x14ac:dyDescent="0.25">
      <c r="B40" s="1" t="s">
        <v>47</v>
      </c>
      <c r="C40" s="51">
        <f>150+1548-470+1077+17-147</f>
        <v>2175</v>
      </c>
      <c r="D40" s="52">
        <f>1618+1090+8</f>
        <v>2716</v>
      </c>
    </row>
    <row r="41" spans="2:4" x14ac:dyDescent="0.25">
      <c r="B41" s="1" t="s">
        <v>43</v>
      </c>
      <c r="C41" s="51">
        <f>576</f>
        <v>576</v>
      </c>
      <c r="D41" s="52">
        <f>702</f>
        <v>702</v>
      </c>
    </row>
    <row r="42" spans="2:4" ht="15.75" thickBot="1" x14ac:dyDescent="0.3">
      <c r="B42" s="5" t="s">
        <v>48</v>
      </c>
      <c r="C42" s="106">
        <f>C34+C28+C21</f>
        <v>81502</v>
      </c>
      <c r="D42" s="107">
        <f>D34+D28+D21</f>
        <v>74623</v>
      </c>
    </row>
    <row r="43" spans="2:4" ht="15.75" thickTop="1" x14ac:dyDescent="0.25"/>
    <row r="44" spans="2:4" x14ac:dyDescent="0.25">
      <c r="C44" s="16"/>
      <c r="D44" s="16"/>
    </row>
  </sheetData>
  <mergeCells count="2">
    <mergeCell ref="C2:D2"/>
    <mergeCell ref="C19:D19"/>
  </mergeCells>
  <pageMargins left="0.7" right="0.7" top="0.75" bottom="0.75" header="0.3" footer="0.3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opLeftCell="A10" workbookViewId="0">
      <selection activeCell="K14" sqref="K14"/>
    </sheetView>
  </sheetViews>
  <sheetFormatPr defaultRowHeight="15" x14ac:dyDescent="0.25"/>
  <cols>
    <col min="2" max="2" width="32.42578125" customWidth="1"/>
    <col min="3" max="3" width="11" style="61" customWidth="1"/>
    <col min="4" max="4" width="17.28515625" style="61" customWidth="1"/>
    <col min="5" max="5" width="11" style="61" customWidth="1"/>
    <col min="6" max="7" width="12" style="61" customWidth="1"/>
    <col min="8" max="8" width="11" style="61" customWidth="1"/>
    <col min="9" max="9" width="15.28515625" style="61" customWidth="1"/>
    <col min="10" max="10" width="12" style="61" customWidth="1"/>
  </cols>
  <sheetData>
    <row r="1" spans="2:13" ht="15.75" thickBot="1" x14ac:dyDescent="0.3"/>
    <row r="2" spans="2:13" ht="16.5" thickTop="1" thickBot="1" x14ac:dyDescent="0.3">
      <c r="C2" s="197" t="s">
        <v>19</v>
      </c>
      <c r="D2" s="198"/>
      <c r="E2" s="198"/>
      <c r="F2" s="198"/>
      <c r="G2" s="198"/>
      <c r="H2" s="198"/>
      <c r="I2" s="198"/>
      <c r="J2" s="199"/>
    </row>
    <row r="3" spans="2:13" ht="45.75" thickTop="1" x14ac:dyDescent="0.25">
      <c r="B3" s="114"/>
      <c r="C3" s="115" t="s">
        <v>37</v>
      </c>
      <c r="D3" s="115" t="s">
        <v>50</v>
      </c>
      <c r="E3" s="115" t="s">
        <v>39</v>
      </c>
      <c r="F3" s="115" t="s">
        <v>127</v>
      </c>
      <c r="G3" s="115" t="s">
        <v>40</v>
      </c>
      <c r="H3" s="115" t="s">
        <v>128</v>
      </c>
      <c r="I3" s="115" t="s">
        <v>129</v>
      </c>
      <c r="J3" s="116" t="s">
        <v>51</v>
      </c>
      <c r="L3" s="16"/>
    </row>
    <row r="4" spans="2:13" x14ac:dyDescent="0.25">
      <c r="B4" s="200" t="s">
        <v>88</v>
      </c>
      <c r="C4" s="201"/>
      <c r="D4" s="201"/>
      <c r="E4" s="201"/>
      <c r="F4" s="201"/>
      <c r="G4" s="201"/>
      <c r="H4" s="201"/>
      <c r="I4" s="201"/>
      <c r="J4" s="202"/>
      <c r="L4" s="16"/>
    </row>
    <row r="5" spans="2:13" x14ac:dyDescent="0.25">
      <c r="B5" s="62" t="str">
        <f>CONCATENATE("Kapitał własny na dzień  ",'[1]Dane podstawowe'!$B$8," ","r.")</f>
        <v>Kapitał własny na dzień  01.01.2013 r.</v>
      </c>
      <c r="C5" s="108">
        <f>C27</f>
        <v>28200</v>
      </c>
      <c r="D5" s="108">
        <f t="shared" ref="D5:G5" si="0">D27</f>
        <v>0</v>
      </c>
      <c r="E5" s="108">
        <v>4453.3100000000004</v>
      </c>
      <c r="F5" s="108">
        <v>2837.02</v>
      </c>
      <c r="G5" s="108">
        <f t="shared" si="0"/>
        <v>0</v>
      </c>
      <c r="H5" s="108">
        <v>0</v>
      </c>
      <c r="I5" s="108">
        <f>SUM(C5:H5)</f>
        <v>35490.33</v>
      </c>
      <c r="J5" s="111">
        <f>I5</f>
        <v>35490.33</v>
      </c>
      <c r="L5" s="16"/>
    </row>
    <row r="6" spans="2:13" x14ac:dyDescent="0.25">
      <c r="B6" s="63" t="s">
        <v>130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10">
        <v>0</v>
      </c>
      <c r="L6" s="16"/>
    </row>
    <row r="7" spans="2:13" x14ac:dyDescent="0.25">
      <c r="B7" s="63" t="s">
        <v>131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10">
        <v>0</v>
      </c>
      <c r="L7" s="16"/>
      <c r="M7" s="16"/>
    </row>
    <row r="8" spans="2:13" x14ac:dyDescent="0.25">
      <c r="B8" s="62" t="s">
        <v>132</v>
      </c>
      <c r="C8" s="108">
        <f>C5+C6+C7</f>
        <v>28200</v>
      </c>
      <c r="D8" s="108">
        <f t="shared" ref="D8:J8" si="1">D5+D6+D7</f>
        <v>0</v>
      </c>
      <c r="E8" s="108">
        <f t="shared" si="1"/>
        <v>4453.3100000000004</v>
      </c>
      <c r="F8" s="108">
        <f t="shared" si="1"/>
        <v>2837.02</v>
      </c>
      <c r="G8" s="108">
        <f t="shared" si="1"/>
        <v>0</v>
      </c>
      <c r="H8" s="108">
        <f t="shared" si="1"/>
        <v>0</v>
      </c>
      <c r="I8" s="108">
        <f>I5+I6+I7</f>
        <v>35490.33</v>
      </c>
      <c r="J8" s="111">
        <f t="shared" si="1"/>
        <v>35490.33</v>
      </c>
      <c r="L8" s="16"/>
    </row>
    <row r="9" spans="2:13" x14ac:dyDescent="0.25">
      <c r="B9" s="63" t="s">
        <v>133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10">
        <v>0</v>
      </c>
      <c r="L9" s="16"/>
    </row>
    <row r="10" spans="2:13" x14ac:dyDescent="0.25">
      <c r="B10" s="63" t="s">
        <v>134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10">
        <v>0</v>
      </c>
      <c r="L10" s="16"/>
    </row>
    <row r="11" spans="2:13" x14ac:dyDescent="0.25">
      <c r="B11" s="63" t="s">
        <v>135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10">
        <v>0</v>
      </c>
      <c r="L11" s="16"/>
    </row>
    <row r="12" spans="2:13" x14ac:dyDescent="0.25">
      <c r="B12" s="65" t="s">
        <v>136</v>
      </c>
      <c r="C12" s="109">
        <v>0</v>
      </c>
      <c r="D12" s="109">
        <v>0</v>
      </c>
      <c r="E12" s="109">
        <v>2837.0179900000003</v>
      </c>
      <c r="F12" s="109">
        <v>-2837.0179900000003</v>
      </c>
      <c r="G12" s="109">
        <v>0</v>
      </c>
      <c r="H12" s="109">
        <f>'RZiS LLF LUG '!C20</f>
        <v>1842</v>
      </c>
      <c r="I12" s="109">
        <f>SUM(C12:H12)</f>
        <v>1842</v>
      </c>
      <c r="J12" s="110">
        <f>I12</f>
        <v>1842</v>
      </c>
      <c r="L12" s="16"/>
    </row>
    <row r="13" spans="2:13" x14ac:dyDescent="0.25">
      <c r="B13" s="63" t="s">
        <v>137</v>
      </c>
      <c r="C13" s="109">
        <v>0</v>
      </c>
      <c r="D13" s="109">
        <v>0</v>
      </c>
      <c r="E13" s="109">
        <v>-700</v>
      </c>
      <c r="F13" s="109">
        <v>0</v>
      </c>
      <c r="G13" s="109">
        <v>0</v>
      </c>
      <c r="H13" s="109">
        <v>0</v>
      </c>
      <c r="I13" s="109">
        <f>SUM(C13:H13)</f>
        <v>-700</v>
      </c>
      <c r="J13" s="110">
        <f>I13</f>
        <v>-700</v>
      </c>
    </row>
    <row r="14" spans="2:13" x14ac:dyDescent="0.25">
      <c r="B14" s="63" t="s">
        <v>138</v>
      </c>
      <c r="C14" s="109">
        <v>0</v>
      </c>
      <c r="D14" s="109">
        <v>0</v>
      </c>
      <c r="E14" s="109">
        <v>0</v>
      </c>
      <c r="F14" s="109">
        <v>-1031.33</v>
      </c>
      <c r="G14" s="109">
        <v>0</v>
      </c>
      <c r="H14" s="109">
        <v>0</v>
      </c>
      <c r="I14" s="109">
        <f>SUM(C14:H14)</f>
        <v>-1031.33</v>
      </c>
      <c r="J14" s="110">
        <f>I14</f>
        <v>-1031.33</v>
      </c>
    </row>
    <row r="15" spans="2:13" x14ac:dyDescent="0.25">
      <c r="B15" s="62" t="s">
        <v>139</v>
      </c>
      <c r="C15" s="108">
        <f>SUM(C8:C14)</f>
        <v>28200</v>
      </c>
      <c r="D15" s="108">
        <f t="shared" ref="D15:J15" si="2">SUM(D8:D14)</f>
        <v>0</v>
      </c>
      <c r="E15" s="108">
        <f t="shared" si="2"/>
        <v>6590.3279900000007</v>
      </c>
      <c r="F15" s="108">
        <f t="shared" si="2"/>
        <v>-1031.3279900000002</v>
      </c>
      <c r="G15" s="108">
        <f t="shared" si="2"/>
        <v>0</v>
      </c>
      <c r="H15" s="108">
        <f t="shared" si="2"/>
        <v>1842</v>
      </c>
      <c r="I15" s="108">
        <f>SUM(I8:I14)</f>
        <v>35601</v>
      </c>
      <c r="J15" s="111">
        <f t="shared" si="2"/>
        <v>35601</v>
      </c>
      <c r="K15" s="67">
        <f>J15-'Bilans LLF LUG '!C21</f>
        <v>0</v>
      </c>
    </row>
    <row r="16" spans="2:13" ht="15" customHeight="1" x14ac:dyDescent="0.25">
      <c r="B16" s="200" t="s">
        <v>140</v>
      </c>
      <c r="C16" s="201"/>
      <c r="D16" s="201"/>
      <c r="E16" s="201"/>
      <c r="F16" s="201"/>
      <c r="G16" s="201"/>
      <c r="H16" s="201"/>
      <c r="I16" s="201"/>
      <c r="J16" s="202"/>
    </row>
    <row r="17" spans="2:12" x14ac:dyDescent="0.25">
      <c r="B17" s="62" t="s">
        <v>141</v>
      </c>
      <c r="C17" s="108">
        <v>28200</v>
      </c>
      <c r="D17" s="108">
        <v>0</v>
      </c>
      <c r="E17" s="108">
        <v>4453.3058100000007</v>
      </c>
      <c r="F17" s="108">
        <v>0</v>
      </c>
      <c r="G17" s="108">
        <v>0</v>
      </c>
      <c r="H17" s="108">
        <v>0</v>
      </c>
      <c r="I17" s="108">
        <v>32653.305810000002</v>
      </c>
      <c r="J17" s="111">
        <v>32653.305810000002</v>
      </c>
    </row>
    <row r="18" spans="2:12" x14ac:dyDescent="0.25">
      <c r="B18" s="63" t="s">
        <v>130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10">
        <v>0</v>
      </c>
    </row>
    <row r="19" spans="2:12" x14ac:dyDescent="0.25">
      <c r="B19" s="63" t="s">
        <v>131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10">
        <v>0</v>
      </c>
    </row>
    <row r="20" spans="2:12" x14ac:dyDescent="0.25">
      <c r="B20" s="62" t="s">
        <v>132</v>
      </c>
      <c r="C20" s="108">
        <v>28200</v>
      </c>
      <c r="D20" s="108">
        <v>0</v>
      </c>
      <c r="E20" s="108">
        <v>4453.3058100000007</v>
      </c>
      <c r="F20" s="108">
        <v>0</v>
      </c>
      <c r="G20" s="108">
        <v>0</v>
      </c>
      <c r="H20" s="108">
        <v>0</v>
      </c>
      <c r="I20" s="108">
        <v>32653.305810000002</v>
      </c>
      <c r="J20" s="111">
        <v>32653.305810000002</v>
      </c>
    </row>
    <row r="21" spans="2:12" x14ac:dyDescent="0.25">
      <c r="B21" s="63" t="s">
        <v>133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f>SUM(C21:H21)</f>
        <v>0</v>
      </c>
      <c r="J21" s="110">
        <f>I21</f>
        <v>0</v>
      </c>
    </row>
    <row r="22" spans="2:12" x14ac:dyDescent="0.25">
      <c r="B22" s="63" t="s">
        <v>134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f t="shared" ref="I22:I26" si="3">SUM(C22:H22)</f>
        <v>0</v>
      </c>
      <c r="J22" s="110">
        <f t="shared" ref="J22:J25" si="4">I22</f>
        <v>0</v>
      </c>
    </row>
    <row r="23" spans="2:12" x14ac:dyDescent="0.25">
      <c r="B23" s="63" t="s">
        <v>135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f t="shared" si="3"/>
        <v>0</v>
      </c>
      <c r="J23" s="110">
        <f t="shared" si="4"/>
        <v>0</v>
      </c>
    </row>
    <row r="24" spans="2:12" x14ac:dyDescent="0.25">
      <c r="B24" s="65" t="s">
        <v>136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f>'RZiS LLF LUG '!D22+0.69</f>
        <v>2571.69</v>
      </c>
      <c r="I24" s="109">
        <f t="shared" si="3"/>
        <v>2571.69</v>
      </c>
      <c r="J24" s="110">
        <f t="shared" si="4"/>
        <v>2571.69</v>
      </c>
      <c r="L24" s="64"/>
    </row>
    <row r="25" spans="2:12" x14ac:dyDescent="0.25">
      <c r="B25" s="63" t="s">
        <v>137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f t="shared" si="3"/>
        <v>0</v>
      </c>
      <c r="J25" s="110">
        <f t="shared" si="4"/>
        <v>0</v>
      </c>
    </row>
    <row r="26" spans="2:12" x14ac:dyDescent="0.25">
      <c r="B26" s="63" t="s">
        <v>138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f t="shared" si="3"/>
        <v>0</v>
      </c>
      <c r="J26" s="110">
        <f t="shared" ref="J26" si="5">SUM(C26:I26)</f>
        <v>0</v>
      </c>
    </row>
    <row r="27" spans="2:12" ht="15.75" thickBot="1" x14ac:dyDescent="0.3">
      <c r="B27" s="66" t="s">
        <v>89</v>
      </c>
      <c r="C27" s="112">
        <f>SUM(C20:C26)</f>
        <v>28200</v>
      </c>
      <c r="D27" s="112">
        <f t="shared" ref="D27:I27" si="6">SUM(D20:D26)</f>
        <v>0</v>
      </c>
      <c r="E27" s="112">
        <f t="shared" si="6"/>
        <v>4453.3058100000007</v>
      </c>
      <c r="F27" s="112">
        <f t="shared" si="6"/>
        <v>0</v>
      </c>
      <c r="G27" s="112">
        <f t="shared" si="6"/>
        <v>0</v>
      </c>
      <c r="H27" s="112">
        <f t="shared" si="6"/>
        <v>2571.69</v>
      </c>
      <c r="I27" s="112">
        <f t="shared" si="6"/>
        <v>35224.99581</v>
      </c>
      <c r="J27" s="113">
        <f>I27</f>
        <v>35224.99581</v>
      </c>
      <c r="K27" s="16">
        <f>J27-'Bilans LLF LUG '!D21</f>
        <v>-4.1899999996530823E-3</v>
      </c>
    </row>
    <row r="28" spans="2:12" ht="15.75" thickTop="1" x14ac:dyDescent="0.25"/>
  </sheetData>
  <mergeCells count="3">
    <mergeCell ref="C2:J2"/>
    <mergeCell ref="B4:J4"/>
    <mergeCell ref="B16:J16"/>
  </mergeCells>
  <pageMargins left="0.7" right="0.7" top="0.75" bottom="0.75" header="0.3" footer="0.3"/>
  <pageSetup paperSize="9" orientation="portrait" horizontalDpi="0" verticalDpi="0" r:id="rId1"/>
  <ignoredErrors>
    <ignoredError sqref="C27:D27 E27:G27" formulaRange="1"/>
    <ignoredError sqref="J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workbookViewId="0">
      <selection activeCell="G21" sqref="G21"/>
    </sheetView>
  </sheetViews>
  <sheetFormatPr defaultRowHeight="15" x14ac:dyDescent="0.25"/>
  <cols>
    <col min="2" max="2" width="57" bestFit="1" customWidth="1"/>
    <col min="3" max="3" width="15" customWidth="1"/>
    <col min="4" max="4" width="15.42578125" customWidth="1"/>
    <col min="5" max="5" width="15.140625" customWidth="1"/>
    <col min="7" max="8" width="24.85546875" customWidth="1"/>
  </cols>
  <sheetData>
    <row r="1" spans="2:8" ht="15.75" thickBot="1" x14ac:dyDescent="0.3"/>
    <row r="2" spans="2:8" ht="16.5" thickTop="1" thickBot="1" x14ac:dyDescent="0.3">
      <c r="B2" s="17"/>
      <c r="C2" s="203" t="s">
        <v>19</v>
      </c>
      <c r="D2" s="204"/>
      <c r="E2" s="34"/>
      <c r="H2" s="16"/>
    </row>
    <row r="3" spans="2:8" ht="39" thickTop="1" x14ac:dyDescent="0.25">
      <c r="B3" s="122"/>
      <c r="C3" s="123" t="s">
        <v>84</v>
      </c>
      <c r="D3" s="124" t="s">
        <v>85</v>
      </c>
      <c r="H3" s="16"/>
    </row>
    <row r="4" spans="2:8" s="17" customFormat="1" ht="12.75" x14ac:dyDescent="0.2">
      <c r="B4" s="153" t="s">
        <v>83</v>
      </c>
      <c r="C4" s="154"/>
      <c r="D4" s="155"/>
    </row>
    <row r="5" spans="2:8" s="17" customFormat="1" ht="12.75" x14ac:dyDescent="0.2">
      <c r="B5" s="117" t="s">
        <v>91</v>
      </c>
      <c r="C5" s="125">
        <f>'RZiS LLF LUG '!C20</f>
        <v>1842</v>
      </c>
      <c r="D5" s="126">
        <f>'RZiS LLF LUG '!D20</f>
        <v>2571</v>
      </c>
    </row>
    <row r="6" spans="2:8" s="17" customFormat="1" ht="12.75" x14ac:dyDescent="0.2">
      <c r="B6" s="117" t="s">
        <v>82</v>
      </c>
      <c r="C6" s="127">
        <f>SUM(C7:C16)</f>
        <v>4623</v>
      </c>
      <c r="D6" s="128">
        <f>SUM(D7:D16)</f>
        <v>907.80999999999972</v>
      </c>
      <c r="E6" s="56"/>
      <c r="H6" s="68"/>
    </row>
    <row r="7" spans="2:8" s="17" customFormat="1" ht="12.75" x14ac:dyDescent="0.2">
      <c r="B7" s="118" t="s">
        <v>57</v>
      </c>
      <c r="C7" s="125">
        <v>3151</v>
      </c>
      <c r="D7" s="129">
        <v>3157</v>
      </c>
      <c r="E7" s="57"/>
    </row>
    <row r="8" spans="2:8" s="17" customFormat="1" ht="12.75" x14ac:dyDescent="0.2">
      <c r="B8" s="118" t="s">
        <v>111</v>
      </c>
      <c r="C8" s="125">
        <v>-158</v>
      </c>
      <c r="D8" s="126">
        <v>-524</v>
      </c>
      <c r="H8" s="68"/>
    </row>
    <row r="9" spans="2:8" s="17" customFormat="1" ht="12.75" x14ac:dyDescent="0.2">
      <c r="B9" s="118" t="s">
        <v>112</v>
      </c>
      <c r="C9" s="125">
        <v>-26</v>
      </c>
      <c r="D9" s="126">
        <v>-68</v>
      </c>
      <c r="H9" s="68"/>
    </row>
    <row r="10" spans="2:8" s="17" customFormat="1" ht="12.75" x14ac:dyDescent="0.2">
      <c r="B10" s="118" t="s">
        <v>113</v>
      </c>
      <c r="C10" s="130">
        <v>756</v>
      </c>
      <c r="D10" s="131">
        <v>987</v>
      </c>
      <c r="H10" s="68"/>
    </row>
    <row r="11" spans="2:8" s="17" customFormat="1" ht="12.75" x14ac:dyDescent="0.2">
      <c r="B11" s="118" t="s">
        <v>114</v>
      </c>
      <c r="C11" s="130">
        <v>-3037</v>
      </c>
      <c r="D11" s="131">
        <f>-3075-1667.18</f>
        <v>-4742.18</v>
      </c>
      <c r="H11" s="68"/>
    </row>
    <row r="12" spans="2:8" s="17" customFormat="1" ht="12.75" x14ac:dyDescent="0.2">
      <c r="B12" s="118" t="s">
        <v>115</v>
      </c>
      <c r="C12" s="130">
        <v>1537</v>
      </c>
      <c r="D12" s="131">
        <f>-1417+1932.99</f>
        <v>515.99</v>
      </c>
      <c r="H12" s="68"/>
    </row>
    <row r="13" spans="2:8" s="17" customFormat="1" ht="25.5" x14ac:dyDescent="0.2">
      <c r="B13" s="118" t="s">
        <v>116</v>
      </c>
      <c r="C13" s="130">
        <f>3137+1</f>
        <v>3138</v>
      </c>
      <c r="D13" s="131">
        <f>1439+12</f>
        <v>1451</v>
      </c>
      <c r="H13" s="68"/>
    </row>
    <row r="14" spans="2:8" s="17" customFormat="1" ht="12.75" x14ac:dyDescent="0.2">
      <c r="B14" s="118" t="s">
        <v>117</v>
      </c>
      <c r="C14" s="130">
        <v>-747</v>
      </c>
      <c r="D14" s="131">
        <v>-436</v>
      </c>
      <c r="H14" s="68"/>
    </row>
    <row r="15" spans="2:8" s="17" customFormat="1" ht="12.75" x14ac:dyDescent="0.2">
      <c r="B15" s="118" t="s">
        <v>118</v>
      </c>
      <c r="C15" s="130">
        <v>80</v>
      </c>
      <c r="D15" s="131">
        <v>567</v>
      </c>
      <c r="H15" s="68"/>
    </row>
    <row r="16" spans="2:8" s="17" customFormat="1" ht="12.75" x14ac:dyDescent="0.2">
      <c r="B16" s="118" t="s">
        <v>119</v>
      </c>
      <c r="C16" s="125">
        <v>-71</v>
      </c>
      <c r="D16" s="126">
        <v>0</v>
      </c>
    </row>
    <row r="17" spans="2:8" s="17" customFormat="1" ht="17.25" customHeight="1" x14ac:dyDescent="0.2">
      <c r="B17" s="117" t="s">
        <v>120</v>
      </c>
      <c r="C17" s="127">
        <f>SUM(C5:C6)</f>
        <v>6465</v>
      </c>
      <c r="D17" s="128">
        <f>SUM(D5:D6)</f>
        <v>3478.8099999999995</v>
      </c>
      <c r="H17" s="68"/>
    </row>
    <row r="18" spans="2:8" s="17" customFormat="1" ht="17.25" customHeight="1" x14ac:dyDescent="0.2">
      <c r="B18" s="119" t="s">
        <v>121</v>
      </c>
      <c r="C18" s="132">
        <f>C17</f>
        <v>6465</v>
      </c>
      <c r="D18" s="133">
        <f>D17</f>
        <v>3478.8099999999995</v>
      </c>
    </row>
    <row r="19" spans="2:8" s="17" customFormat="1" ht="17.25" customHeight="1" x14ac:dyDescent="0.2">
      <c r="B19" s="150" t="s">
        <v>142</v>
      </c>
      <c r="C19" s="151"/>
      <c r="D19" s="152"/>
      <c r="H19" s="68"/>
    </row>
    <row r="20" spans="2:8" s="17" customFormat="1" ht="12.75" x14ac:dyDescent="0.2">
      <c r="B20" s="120" t="s">
        <v>143</v>
      </c>
      <c r="C20" s="134">
        <v>26</v>
      </c>
      <c r="D20" s="135">
        <v>119</v>
      </c>
    </row>
    <row r="21" spans="2:8" s="17" customFormat="1" ht="12.75" x14ac:dyDescent="0.2">
      <c r="B21" s="120" t="s">
        <v>144</v>
      </c>
      <c r="C21" s="134">
        <v>-3049</v>
      </c>
      <c r="D21" s="135">
        <v>-2209</v>
      </c>
    </row>
    <row r="22" spans="2:8" s="17" customFormat="1" ht="12.75" x14ac:dyDescent="0.2">
      <c r="B22" s="121" t="s">
        <v>122</v>
      </c>
      <c r="C22" s="142">
        <f>C20+C21</f>
        <v>-3023</v>
      </c>
      <c r="D22" s="143">
        <f>D20+D21</f>
        <v>-2090</v>
      </c>
    </row>
    <row r="23" spans="2:8" s="17" customFormat="1" ht="16.5" customHeight="1" x14ac:dyDescent="0.2">
      <c r="B23" s="147" t="s">
        <v>145</v>
      </c>
      <c r="C23" s="148"/>
      <c r="D23" s="149"/>
    </row>
    <row r="24" spans="2:8" s="17" customFormat="1" ht="12.75" x14ac:dyDescent="0.2">
      <c r="B24" s="120" t="s">
        <v>146</v>
      </c>
      <c r="C24" s="134">
        <v>3113</v>
      </c>
      <c r="D24" s="135">
        <v>5030</v>
      </c>
    </row>
    <row r="25" spans="2:8" s="17" customFormat="1" ht="12.75" x14ac:dyDescent="0.2">
      <c r="B25" s="120" t="s">
        <v>147</v>
      </c>
      <c r="C25" s="134">
        <v>-1060</v>
      </c>
      <c r="D25" s="135">
        <v>-2563</v>
      </c>
    </row>
    <row r="26" spans="2:8" s="17" customFormat="1" ht="12.75" x14ac:dyDescent="0.2">
      <c r="B26" s="120" t="s">
        <v>148</v>
      </c>
      <c r="C26" s="134">
        <v>-700</v>
      </c>
      <c r="D26" s="135">
        <v>-1800</v>
      </c>
    </row>
    <row r="27" spans="2:8" s="17" customFormat="1" ht="12.75" x14ac:dyDescent="0.2">
      <c r="B27" s="120" t="s">
        <v>149</v>
      </c>
      <c r="C27" s="134">
        <v>-1343</v>
      </c>
      <c r="D27" s="135">
        <v>-1266</v>
      </c>
    </row>
    <row r="28" spans="2:8" s="17" customFormat="1" ht="12.75" x14ac:dyDescent="0.2">
      <c r="B28" s="120" t="s">
        <v>150</v>
      </c>
      <c r="C28" s="134">
        <v>-756</v>
      </c>
      <c r="D28" s="135">
        <v>-986</v>
      </c>
    </row>
    <row r="29" spans="2:8" s="17" customFormat="1" ht="12.75" x14ac:dyDescent="0.2">
      <c r="B29" s="120" t="s">
        <v>151</v>
      </c>
      <c r="C29" s="134">
        <v>0</v>
      </c>
      <c r="D29" s="135">
        <v>1800</v>
      </c>
    </row>
    <row r="30" spans="2:8" s="17" customFormat="1" ht="12.75" x14ac:dyDescent="0.2">
      <c r="B30" s="121" t="s">
        <v>123</v>
      </c>
      <c r="C30" s="142">
        <f>C24+C25+C26+C27+C28</f>
        <v>-746</v>
      </c>
      <c r="D30" s="143">
        <f>D24+D25+D26+D27+D28</f>
        <v>-1585</v>
      </c>
      <c r="H30" s="68"/>
    </row>
    <row r="31" spans="2:8" s="17" customFormat="1" ht="12.75" x14ac:dyDescent="0.2">
      <c r="B31" s="144" t="s">
        <v>124</v>
      </c>
      <c r="C31" s="145">
        <f>C17+C22+C30</f>
        <v>2696</v>
      </c>
      <c r="D31" s="146">
        <f>D17+D22+D30</f>
        <v>-196.19000000000051</v>
      </c>
    </row>
    <row r="32" spans="2:8" s="17" customFormat="1" ht="12.75" x14ac:dyDescent="0.2">
      <c r="B32" s="136" t="s">
        <v>125</v>
      </c>
      <c r="C32" s="137">
        <v>888</v>
      </c>
      <c r="D32" s="138">
        <v>1085</v>
      </c>
    </row>
    <row r="33" spans="2:8" s="17" customFormat="1" ht="13.5" thickBot="1" x14ac:dyDescent="0.25">
      <c r="B33" s="139" t="s">
        <v>126</v>
      </c>
      <c r="C33" s="140">
        <v>3584</v>
      </c>
      <c r="D33" s="141">
        <v>889</v>
      </c>
    </row>
    <row r="34" spans="2:8" s="17" customFormat="1" ht="12" thickTop="1" x14ac:dyDescent="0.2">
      <c r="C34" s="60"/>
      <c r="D34" s="60"/>
    </row>
    <row r="35" spans="2:8" s="17" customFormat="1" ht="11.25" x14ac:dyDescent="0.2">
      <c r="C35" s="60"/>
      <c r="D35" s="60"/>
    </row>
    <row r="37" spans="2:8" x14ac:dyDescent="0.25">
      <c r="H37" s="16"/>
    </row>
    <row r="39" spans="2:8" x14ac:dyDescent="0.25">
      <c r="H39" s="16"/>
    </row>
    <row r="41" spans="2:8" x14ac:dyDescent="0.25">
      <c r="H41" s="16"/>
    </row>
    <row r="44" spans="2:8" x14ac:dyDescent="0.25">
      <c r="H44" s="16"/>
    </row>
    <row r="46" spans="2:8" x14ac:dyDescent="0.25">
      <c r="H46" s="16"/>
    </row>
    <row r="48" spans="2:8" x14ac:dyDescent="0.25">
      <c r="H48" s="16"/>
    </row>
    <row r="51" spans="8:8" x14ac:dyDescent="0.25">
      <c r="H51" s="16"/>
    </row>
    <row r="52" spans="8:8" x14ac:dyDescent="0.25">
      <c r="H52" s="16"/>
    </row>
    <row r="54" spans="8:8" x14ac:dyDescent="0.25">
      <c r="H54" s="16"/>
    </row>
    <row r="55" spans="8:8" x14ac:dyDescent="0.25">
      <c r="H55" s="16"/>
    </row>
    <row r="56" spans="8:8" x14ac:dyDescent="0.25">
      <c r="H56" s="16"/>
    </row>
    <row r="58" spans="8:8" x14ac:dyDescent="0.25">
      <c r="H58" s="16"/>
    </row>
    <row r="60" spans="8:8" x14ac:dyDescent="0.25">
      <c r="H60" s="16"/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workbookViewId="0">
      <selection activeCell="J21" sqref="J21"/>
    </sheetView>
  </sheetViews>
  <sheetFormatPr defaultRowHeight="15" x14ac:dyDescent="0.25"/>
  <cols>
    <col min="2" max="2" width="39.28515625" customWidth="1"/>
    <col min="3" max="12" width="10.140625" customWidth="1"/>
  </cols>
  <sheetData>
    <row r="2" spans="2:7" ht="15.75" thickBot="1" x14ac:dyDescent="0.3"/>
    <row r="3" spans="2:7" ht="15.75" customHeight="1" thickTop="1" x14ac:dyDescent="0.25">
      <c r="B3" s="205"/>
      <c r="C3" s="211" t="s">
        <v>53</v>
      </c>
      <c r="D3" s="211" t="s">
        <v>54</v>
      </c>
      <c r="E3" s="211" t="s">
        <v>55</v>
      </c>
      <c r="F3" s="211" t="s">
        <v>56</v>
      </c>
      <c r="G3" s="207" t="s">
        <v>52</v>
      </c>
    </row>
    <row r="4" spans="2:7" x14ac:dyDescent="0.25">
      <c r="B4" s="206"/>
      <c r="C4" s="212"/>
      <c r="D4" s="212"/>
      <c r="E4" s="212"/>
      <c r="F4" s="212"/>
      <c r="G4" s="208"/>
    </row>
    <row r="5" spans="2:7" x14ac:dyDescent="0.25">
      <c r="B5" s="20" t="s">
        <v>0</v>
      </c>
      <c r="C5" s="156">
        <f>'RZiS LLF LUG '!C4</f>
        <v>102641</v>
      </c>
      <c r="D5" s="156">
        <f>102093-1933</f>
        <v>100160</v>
      </c>
      <c r="E5" s="157">
        <f>C5/'Kursy walut'!$D$6</f>
        <v>24374.495369270957</v>
      </c>
      <c r="F5" s="156">
        <f>D5/'Kursy walut'!$D$5</f>
        <v>23998.466551658039</v>
      </c>
      <c r="G5" s="35">
        <f>(C5/D5)*100</f>
        <v>102.47703674121406</v>
      </c>
    </row>
    <row r="6" spans="2:7" x14ac:dyDescent="0.25">
      <c r="B6" s="21" t="s">
        <v>57</v>
      </c>
      <c r="C6" s="158">
        <f>'Rach.przep.pienięż LLF LUG'!C7</f>
        <v>3151</v>
      </c>
      <c r="D6" s="158">
        <v>3158</v>
      </c>
      <c r="E6" s="159">
        <f>C6/'Kursy walut'!$D$6</f>
        <v>748.27831868914745</v>
      </c>
      <c r="F6" s="158">
        <f>D6/'Kursy walut'!$D$5</f>
        <v>756.66091623538421</v>
      </c>
      <c r="G6" s="36">
        <f t="shared" ref="G6:G13" si="0">(C6/D6)*100</f>
        <v>99.778340721975937</v>
      </c>
    </row>
    <row r="7" spans="2:7" x14ac:dyDescent="0.25">
      <c r="B7" s="20" t="s">
        <v>58</v>
      </c>
      <c r="C7" s="156">
        <f>'RZiS LLF LUG '!C10</f>
        <v>28306</v>
      </c>
      <c r="D7" s="156">
        <f>28436-266</f>
        <v>28170</v>
      </c>
      <c r="E7" s="157">
        <f>C7/'Kursy walut'!$D$6</f>
        <v>6721.9187841367839</v>
      </c>
      <c r="F7" s="156">
        <f>D7/'Kursy walut'!$D$5</f>
        <v>6749.5687176538231</v>
      </c>
      <c r="G7" s="35">
        <f t="shared" si="0"/>
        <v>100.4827831025914</v>
      </c>
    </row>
    <row r="8" spans="2:7" x14ac:dyDescent="0.25">
      <c r="B8" s="21" t="s">
        <v>59</v>
      </c>
      <c r="C8" s="158">
        <f>'RZiS LLF LUG '!C10-'RZiS LLF LUG '!C12-'RZiS LLF LUG '!C13</f>
        <v>1477</v>
      </c>
      <c r="D8" s="158">
        <f>'RZiS LLF LUG '!D10-'RZiS LLF LUG '!D12-'RZiS LLF LUG '!D13</f>
        <v>2156</v>
      </c>
      <c r="E8" s="159">
        <f>C8/'Kursy walut'!$D$6</f>
        <v>350.74804084540489</v>
      </c>
      <c r="F8" s="158">
        <f>D8/'Kursy walut'!$D$5</f>
        <v>516.58041019743143</v>
      </c>
      <c r="G8" s="36">
        <f t="shared" si="0"/>
        <v>68.506493506493499</v>
      </c>
    </row>
    <row r="9" spans="2:7" x14ac:dyDescent="0.25">
      <c r="B9" s="20" t="s">
        <v>60</v>
      </c>
      <c r="C9" s="156">
        <f>'RZiS LLF LUG '!C15</f>
        <v>2599</v>
      </c>
      <c r="D9" s="156">
        <f>2898-266</f>
        <v>2632</v>
      </c>
      <c r="E9" s="157">
        <f>C9/'Kursy walut'!$D$6</f>
        <v>617.19306578009969</v>
      </c>
      <c r="F9" s="156">
        <f>D9/'Kursy walut'!$D$5</f>
        <v>630.63063063063055</v>
      </c>
      <c r="G9" s="35">
        <f t="shared" si="0"/>
        <v>98.746200607902736</v>
      </c>
    </row>
    <row r="10" spans="2:7" x14ac:dyDescent="0.25">
      <c r="B10" s="21" t="s">
        <v>61</v>
      </c>
      <c r="C10" s="158">
        <f>C12</f>
        <v>1849</v>
      </c>
      <c r="D10" s="158">
        <f>2850-266</f>
        <v>2584</v>
      </c>
      <c r="E10" s="159">
        <f>C10/'Kursy walut'!$D$6</f>
        <v>439.08810258845875</v>
      </c>
      <c r="F10" s="158">
        <f>D10/'Kursy walut'!$D$5</f>
        <v>619.12976806593826</v>
      </c>
      <c r="G10" s="36">
        <f t="shared" si="0"/>
        <v>71.555727554179569</v>
      </c>
    </row>
    <row r="11" spans="2:7" x14ac:dyDescent="0.25">
      <c r="B11" s="20" t="s">
        <v>62</v>
      </c>
      <c r="C11" s="157">
        <f>C6+C9</f>
        <v>5750</v>
      </c>
      <c r="D11" s="157">
        <v>6056</v>
      </c>
      <c r="E11" s="157">
        <f>C11/'Kursy walut'!$D$6</f>
        <v>1365.4713844692471</v>
      </c>
      <c r="F11" s="156">
        <f>D11/'Kursy walut'!$D$5</f>
        <v>1451.025493578685</v>
      </c>
      <c r="G11" s="35">
        <f t="shared" si="0"/>
        <v>94.947159841479518</v>
      </c>
    </row>
    <row r="12" spans="2:7" x14ac:dyDescent="0.25">
      <c r="B12" s="21" t="s">
        <v>63</v>
      </c>
      <c r="C12" s="159">
        <f>'RZiS LLF LUG '!C18</f>
        <v>1849</v>
      </c>
      <c r="D12" s="159">
        <f>2850-266</f>
        <v>2584</v>
      </c>
      <c r="E12" s="159">
        <f>C12/'Kursy walut'!$D$6</f>
        <v>439.08810258845875</v>
      </c>
      <c r="F12" s="158">
        <f>D12/'Kursy walut'!$D$5</f>
        <v>619.12976806593826</v>
      </c>
      <c r="G12" s="36">
        <f t="shared" si="0"/>
        <v>71.555727554179569</v>
      </c>
    </row>
    <row r="13" spans="2:7" x14ac:dyDescent="0.25">
      <c r="B13" s="20" t="s">
        <v>16</v>
      </c>
      <c r="C13" s="157">
        <f>'RZiS LLF LUG '!C20</f>
        <v>1842</v>
      </c>
      <c r="D13" s="157">
        <f>2837-266</f>
        <v>2571</v>
      </c>
      <c r="E13" s="157">
        <f>C13/'Kursy walut'!$D$6</f>
        <v>437.42578959867012</v>
      </c>
      <c r="F13" s="156">
        <f>D13/'Kursy walut'!$D$5</f>
        <v>616.01495112133409</v>
      </c>
      <c r="G13" s="35">
        <f t="shared" si="0"/>
        <v>71.645274212368719</v>
      </c>
    </row>
    <row r="14" spans="2:7" ht="15" customHeight="1" x14ac:dyDescent="0.25">
      <c r="B14" s="209"/>
      <c r="C14" s="9" t="s">
        <v>90</v>
      </c>
      <c r="D14" s="9" t="s">
        <v>90</v>
      </c>
      <c r="E14" s="9" t="s">
        <v>90</v>
      </c>
      <c r="F14" s="9" t="s">
        <v>90</v>
      </c>
      <c r="G14" s="208" t="s">
        <v>52</v>
      </c>
    </row>
    <row r="15" spans="2:7" x14ac:dyDescent="0.25">
      <c r="B15" s="210"/>
      <c r="C15" s="8" t="s">
        <v>53</v>
      </c>
      <c r="D15" s="8" t="s">
        <v>54</v>
      </c>
      <c r="E15" s="8" t="s">
        <v>55</v>
      </c>
      <c r="F15" s="8" t="s">
        <v>56</v>
      </c>
      <c r="G15" s="208"/>
    </row>
    <row r="16" spans="2:7" x14ac:dyDescent="0.25">
      <c r="B16" s="21" t="s">
        <v>64</v>
      </c>
      <c r="C16" s="160">
        <f>C17+C18</f>
        <v>81502</v>
      </c>
      <c r="D16" s="160">
        <f>D17+D18</f>
        <v>76555.899999999994</v>
      </c>
      <c r="E16" s="160">
        <f>C16/'Kursy walut'!$C$6</f>
        <v>19652.295524691359</v>
      </c>
      <c r="F16" s="160">
        <f>D16/'Kursy walut'!$C$5</f>
        <v>18726.065260995059</v>
      </c>
      <c r="G16" s="22">
        <f>(C16/D16)*100</f>
        <v>106.46076918957259</v>
      </c>
    </row>
    <row r="17" spans="2:9" x14ac:dyDescent="0.25">
      <c r="B17" s="20" t="s">
        <v>20</v>
      </c>
      <c r="C17" s="161">
        <f>'Bilans LLF LUG '!C4</f>
        <v>30247</v>
      </c>
      <c r="D17" s="161">
        <v>29011</v>
      </c>
      <c r="E17" s="161">
        <f>C17/'Kursy walut'!$C$6</f>
        <v>7293.3545524691363</v>
      </c>
      <c r="F17" s="161">
        <f>D17/'Kursy walut'!$C$5</f>
        <v>7096.2770901619306</v>
      </c>
      <c r="G17" s="37">
        <f t="shared" ref="G17:G28" si="1">(C17/D17)*100</f>
        <v>104.26045293164661</v>
      </c>
    </row>
    <row r="18" spans="2:9" x14ac:dyDescent="0.25">
      <c r="B18" s="21" t="s">
        <v>27</v>
      </c>
      <c r="C18" s="160">
        <f>'Bilans LLF LUG '!C10</f>
        <v>51255</v>
      </c>
      <c r="D18" s="160">
        <f>45877.9+1667</f>
        <v>47544.9</v>
      </c>
      <c r="E18" s="160">
        <f>C18/'Kursy walut'!$C$6</f>
        <v>12358.940972222223</v>
      </c>
      <c r="F18" s="160">
        <f>D18/'Kursy walut'!$C$5</f>
        <v>11629.788170833132</v>
      </c>
      <c r="G18" s="22">
        <f t="shared" si="1"/>
        <v>107.8033606128102</v>
      </c>
    </row>
    <row r="19" spans="2:9" x14ac:dyDescent="0.25">
      <c r="B19" s="20" t="s">
        <v>28</v>
      </c>
      <c r="C19" s="161">
        <f>'Bilans LLF LUG '!C11</f>
        <v>27255</v>
      </c>
      <c r="D19" s="161">
        <v>21458</v>
      </c>
      <c r="E19" s="161">
        <f>C19/'Kursy walut'!$C$6</f>
        <v>6571.9039351851852</v>
      </c>
      <c r="F19" s="161">
        <f>D19/'Kursy walut'!$C$5</f>
        <v>5248.7647375373026</v>
      </c>
      <c r="G19" s="22">
        <f t="shared" si="1"/>
        <v>127.01556529033459</v>
      </c>
    </row>
    <row r="20" spans="2:9" x14ac:dyDescent="0.25">
      <c r="B20" s="21" t="s">
        <v>65</v>
      </c>
      <c r="C20" s="160">
        <f>'Bilans LLF LUG '!C15</f>
        <v>3562</v>
      </c>
      <c r="D20" s="160">
        <v>890</v>
      </c>
      <c r="E20" s="160">
        <f>C20/'Kursy walut'!$C$6</f>
        <v>858.89274691358025</v>
      </c>
      <c r="F20" s="160">
        <f>D20/'Kursy walut'!$C$5</f>
        <v>217.69972114867181</v>
      </c>
      <c r="G20" s="22">
        <f t="shared" si="1"/>
        <v>400.22471910112358</v>
      </c>
    </row>
    <row r="21" spans="2:9" x14ac:dyDescent="0.25">
      <c r="B21" s="20" t="s">
        <v>66</v>
      </c>
      <c r="C21" s="161">
        <f>C22+C23</f>
        <v>20367</v>
      </c>
      <c r="D21" s="161">
        <f>D22</f>
        <v>20320</v>
      </c>
      <c r="E21" s="161">
        <f>C21/'Kursy walut'!$C$6</f>
        <v>4911.0243055555557</v>
      </c>
      <c r="F21" s="161">
        <f>D21/'Kursy walut'!$C$5</f>
        <v>4970.4026221809117</v>
      </c>
      <c r="G21" s="22">
        <f t="shared" si="1"/>
        <v>100.23129921259843</v>
      </c>
    </row>
    <row r="22" spans="2:9" x14ac:dyDescent="0.25">
      <c r="B22" s="21" t="s">
        <v>67</v>
      </c>
      <c r="C22" s="160">
        <f>'Bilans LLF LUG '!C12+'Bilans LLF LUG '!C13</f>
        <v>20367</v>
      </c>
      <c r="D22" s="160">
        <f>22252-1932</f>
        <v>20320</v>
      </c>
      <c r="E22" s="160">
        <f>C22/'Kursy walut'!$C$6</f>
        <v>4911.0243055555557</v>
      </c>
      <c r="F22" s="160">
        <f>D22/'Kursy walut'!$C$5</f>
        <v>4970.4026221809117</v>
      </c>
      <c r="G22" s="22">
        <f t="shared" si="1"/>
        <v>100.23129921259843</v>
      </c>
    </row>
    <row r="23" spans="2:9" x14ac:dyDescent="0.25">
      <c r="B23" s="20" t="s">
        <v>68</v>
      </c>
      <c r="C23" s="161">
        <f>'Bilans LLF LUG '!C9</f>
        <v>0</v>
      </c>
      <c r="D23" s="161">
        <f>'Bilans LLF LUG '!D9</f>
        <v>0</v>
      </c>
      <c r="E23" s="161">
        <f>C23/'Kursy walut'!$C$6</f>
        <v>0</v>
      </c>
      <c r="F23" s="161">
        <f>D23/'Kursy walut'!$C$5</f>
        <v>0</v>
      </c>
      <c r="G23" s="22">
        <v>0</v>
      </c>
    </row>
    <row r="24" spans="2:9" x14ac:dyDescent="0.25">
      <c r="B24" s="21" t="s">
        <v>69</v>
      </c>
      <c r="C24" s="160">
        <f>C25+C26</f>
        <v>45901</v>
      </c>
      <c r="D24" s="160">
        <v>39399</v>
      </c>
      <c r="E24" s="160">
        <f>C24/'Kursy walut'!$C$6</f>
        <v>11067.949459876543</v>
      </c>
      <c r="F24" s="160">
        <f>D24/'Kursy walut'!$C$5</f>
        <v>9637.2486668949678</v>
      </c>
      <c r="G24" s="22">
        <f t="shared" si="1"/>
        <v>116.50295692784081</v>
      </c>
    </row>
    <row r="25" spans="2:9" x14ac:dyDescent="0.25">
      <c r="B25" s="20" t="s">
        <v>70</v>
      </c>
      <c r="C25" s="161">
        <f>'Bilans LLF LUG '!C28</f>
        <v>3931</v>
      </c>
      <c r="D25" s="161">
        <v>3746</v>
      </c>
      <c r="E25" s="161">
        <f>C25/'Kursy walut'!$C$6</f>
        <v>947.86844135802471</v>
      </c>
      <c r="F25" s="161">
        <f>D25/'Kursy walut'!$C$5</f>
        <v>916.29568025047706</v>
      </c>
      <c r="G25" s="37">
        <f t="shared" si="1"/>
        <v>104.93860117458622</v>
      </c>
    </row>
    <row r="26" spans="2:9" x14ac:dyDescent="0.25">
      <c r="B26" s="21" t="s">
        <v>44</v>
      </c>
      <c r="C26" s="160">
        <f>'Bilans LLF LUG '!C34</f>
        <v>41970</v>
      </c>
      <c r="D26" s="160">
        <v>35653</v>
      </c>
      <c r="E26" s="160">
        <f>C26/'Kursy walut'!$C$6</f>
        <v>10120.081018518518</v>
      </c>
      <c r="F26" s="160">
        <f>D26/'Kursy walut'!$C$5</f>
        <v>8720.95298664449</v>
      </c>
      <c r="G26" s="22">
        <f t="shared" si="1"/>
        <v>117.71800409502706</v>
      </c>
    </row>
    <row r="27" spans="2:9" x14ac:dyDescent="0.25">
      <c r="B27" s="20" t="s">
        <v>71</v>
      </c>
      <c r="C27" s="161">
        <f>'Bilans LLF LUG '!C21</f>
        <v>35601</v>
      </c>
      <c r="D27" s="161">
        <f>35490.32-266</f>
        <v>35224.32</v>
      </c>
      <c r="E27" s="161">
        <f>C27/'Kursy walut'!$C$6</f>
        <v>8584.3460648148157</v>
      </c>
      <c r="F27" s="161">
        <f>D27/'Kursy walut'!$C$5</f>
        <v>8616.0951029793068</v>
      </c>
      <c r="G27" s="37">
        <f t="shared" si="1"/>
        <v>101.06937479559576</v>
      </c>
    </row>
    <row r="28" spans="2:9" ht="15.75" thickBot="1" x14ac:dyDescent="0.3">
      <c r="B28" s="23" t="s">
        <v>72</v>
      </c>
      <c r="C28" s="162">
        <f>'Bilans LLF LUG '!C22</f>
        <v>28200</v>
      </c>
      <c r="D28" s="162">
        <v>28200</v>
      </c>
      <c r="E28" s="162">
        <f>C28/'Kursy walut'!$C$6</f>
        <v>6799.7685185185192</v>
      </c>
      <c r="F28" s="162">
        <f>D28/'Kursy walut'!$C$5</f>
        <v>6897.9012768455559</v>
      </c>
      <c r="G28" s="24">
        <f t="shared" si="1"/>
        <v>100</v>
      </c>
    </row>
    <row r="29" spans="2:9" ht="15.75" thickTop="1" x14ac:dyDescent="0.25">
      <c r="C29" s="16"/>
      <c r="D29" s="16"/>
      <c r="H29" s="16"/>
      <c r="I29" s="16"/>
    </row>
    <row r="30" spans="2:9" x14ac:dyDescent="0.25">
      <c r="C30" s="16"/>
      <c r="D30" s="16"/>
      <c r="H30" s="16"/>
      <c r="I30" s="16"/>
    </row>
    <row r="31" spans="2:9" x14ac:dyDescent="0.25">
      <c r="C31" s="16"/>
      <c r="D31" s="16"/>
    </row>
  </sheetData>
  <mergeCells count="8">
    <mergeCell ref="B3:B4"/>
    <mergeCell ref="G3:G4"/>
    <mergeCell ref="B14:B15"/>
    <mergeCell ref="G14:G15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F12" sqref="F12"/>
    </sheetView>
  </sheetViews>
  <sheetFormatPr defaultRowHeight="15" x14ac:dyDescent="0.25"/>
  <cols>
    <col min="2" max="2" width="39" customWidth="1"/>
    <col min="3" max="4" width="13.5703125" customWidth="1"/>
    <col min="5" max="5" width="12.42578125" customWidth="1"/>
    <col min="6" max="6" width="12.5703125" customWidth="1"/>
  </cols>
  <sheetData>
    <row r="3" spans="2:4" ht="15.75" thickBot="1" x14ac:dyDescent="0.3"/>
    <row r="4" spans="2:4" ht="15.75" thickTop="1" x14ac:dyDescent="0.25">
      <c r="B4" s="213"/>
      <c r="C4" s="215">
        <v>2013</v>
      </c>
      <c r="D4" s="217">
        <v>2012</v>
      </c>
    </row>
    <row r="5" spans="2:4" x14ac:dyDescent="0.25">
      <c r="B5" s="214"/>
      <c r="C5" s="216"/>
      <c r="D5" s="218"/>
    </row>
    <row r="6" spans="2:4" x14ac:dyDescent="0.25">
      <c r="B6" s="25" t="s">
        <v>73</v>
      </c>
      <c r="C6" s="26">
        <f>'Wybrane dane finansowe LLF LUG '!C9/'Wybrane dane finansowe LLF LUG '!C5</f>
        <v>2.5321265381280385E-2</v>
      </c>
      <c r="D6" s="38">
        <f>'Wybrane dane finansowe LLF LUG '!D9/'Wybrane dane finansowe LLF LUG '!D5</f>
        <v>2.6277955271565494E-2</v>
      </c>
    </row>
    <row r="7" spans="2:4" x14ac:dyDescent="0.25">
      <c r="B7" s="27" t="s">
        <v>74</v>
      </c>
      <c r="C7" s="28">
        <f>'Wybrane dane finansowe LLF LUG '!C11/'Wybrane dane finansowe LLF LUG '!C5</f>
        <v>5.6020498631151293E-2</v>
      </c>
      <c r="D7" s="39">
        <f>'Wybrane dane finansowe LLF LUG '!D11/'Wybrane dane finansowe LLF LUG '!D5</f>
        <v>6.0463258785942491E-2</v>
      </c>
    </row>
    <row r="8" spans="2:4" x14ac:dyDescent="0.25">
      <c r="B8" s="25" t="s">
        <v>75</v>
      </c>
      <c r="C8" s="26">
        <f>'Wybrane dane finansowe LLF LUG '!C13/'Wybrane dane finansowe LLF LUG '!C5</f>
        <v>1.7946044952796641E-2</v>
      </c>
      <c r="D8" s="38">
        <f>'Wybrane dane finansowe LLF LUG '!D13/'Wybrane dane finansowe LLF LUG '!D5</f>
        <v>2.5668929712460063E-2</v>
      </c>
    </row>
    <row r="9" spans="2:4" x14ac:dyDescent="0.25">
      <c r="B9" s="27" t="s">
        <v>76</v>
      </c>
      <c r="C9" s="28">
        <f>'Wybrane dane finansowe LLF LUG '!C13/('Wybrane dane finansowe LLF LUG '!C16-'Wybrane dane finansowe LLF LUG '!C24)</f>
        <v>5.1740119659560123E-2</v>
      </c>
      <c r="D9" s="39">
        <f>'Wybrane dane finansowe LLF LUG '!D13/('Wybrane dane finansowe LLF LUG '!D16-'Wybrane dane finansowe LLF LUG '!D24)</f>
        <v>6.9193070466050735E-2</v>
      </c>
    </row>
    <row r="10" spans="2:4" x14ac:dyDescent="0.25">
      <c r="B10" s="29" t="s">
        <v>77</v>
      </c>
      <c r="C10" s="26">
        <f>'Wybrane dane finansowe LLF LUG '!C13/'Wybrane dane finansowe LLF LUG '!C16</f>
        <v>2.2600672376138008E-2</v>
      </c>
      <c r="D10" s="38">
        <f>'Wybrane dane finansowe LLF LUG '!D13/'Wybrane dane finansowe LLF LUG '!D16</f>
        <v>3.3583303181074227E-2</v>
      </c>
    </row>
    <row r="11" spans="2:4" x14ac:dyDescent="0.25">
      <c r="B11" s="27" t="s">
        <v>78</v>
      </c>
      <c r="C11" s="28">
        <f>'Wybrane dane finansowe LLF LUG '!C18/'Wybrane dane finansowe LLF LUG '!C26</f>
        <v>1.2212294496068621</v>
      </c>
      <c r="D11" s="39">
        <f>'Wybrane dane finansowe LLF LUG '!D18/'Wybrane dane finansowe LLF LUG '!D26</f>
        <v>1.3335455641881468</v>
      </c>
    </row>
    <row r="12" spans="2:4" ht="15.75" thickBot="1" x14ac:dyDescent="0.3">
      <c r="B12" s="30" t="s">
        <v>79</v>
      </c>
      <c r="C12" s="31">
        <f>'Wybrane dane finansowe LLF LUG '!C24/'Wybrane dane finansowe LLF LUG '!C16</f>
        <v>0.56318863340776915</v>
      </c>
      <c r="D12" s="40">
        <f>'Wybrane dane finansowe LLF LUG '!D24/'Wybrane dane finansowe LLF LUG '!D16</f>
        <v>0.51464354804789703</v>
      </c>
    </row>
    <row r="13" spans="2:4" ht="15.75" thickTop="1" x14ac:dyDescent="0.25"/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E17" sqref="E17"/>
    </sheetView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4" ht="15.75" thickBot="1" x14ac:dyDescent="0.3"/>
    <row r="3" spans="2:4" ht="15.75" thickTop="1" x14ac:dyDescent="0.25">
      <c r="B3" s="219"/>
      <c r="C3" s="18" t="s">
        <v>80</v>
      </c>
      <c r="D3" s="163" t="s">
        <v>81</v>
      </c>
    </row>
    <row r="4" spans="2:4" x14ac:dyDescent="0.25">
      <c r="B4" s="220"/>
      <c r="C4" s="19" t="s">
        <v>92</v>
      </c>
      <c r="D4" s="164" t="s">
        <v>93</v>
      </c>
    </row>
    <row r="5" spans="2:4" x14ac:dyDescent="0.25">
      <c r="B5" s="11">
        <v>2012</v>
      </c>
      <c r="C5" s="10">
        <v>4.0881999999999996</v>
      </c>
      <c r="D5" s="12">
        <v>4.1736000000000004</v>
      </c>
    </row>
    <row r="6" spans="2:4" ht="15.75" thickBot="1" x14ac:dyDescent="0.3">
      <c r="B6" s="13">
        <v>2013</v>
      </c>
      <c r="C6" s="14">
        <v>4.1471999999999998</v>
      </c>
      <c r="D6" s="15">
        <v>4.2110000000000003</v>
      </c>
    </row>
    <row r="7" spans="2:4" ht="15.75" thickTop="1" x14ac:dyDescent="0.25"/>
  </sheetData>
  <mergeCells count="1"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M15" sqref="M15"/>
    </sheetView>
  </sheetViews>
  <sheetFormatPr defaultRowHeight="15" x14ac:dyDescent="0.25"/>
  <cols>
    <col min="2" max="2" width="30.5703125" customWidth="1"/>
    <col min="3" max="3" width="15.28515625" customWidth="1"/>
    <col min="4" max="4" width="12.5703125" style="58" customWidth="1"/>
    <col min="5" max="5" width="11.42578125" customWidth="1"/>
    <col min="6" max="6" width="10" style="58" bestFit="1" customWidth="1"/>
    <col min="7" max="7" width="12.28515625" style="58" customWidth="1"/>
  </cols>
  <sheetData>
    <row r="1" spans="2:7" ht="15.75" thickBot="1" x14ac:dyDescent="0.3"/>
    <row r="2" spans="2:7" ht="46.5" customHeight="1" thickTop="1" x14ac:dyDescent="0.25">
      <c r="B2" s="41" t="s">
        <v>94</v>
      </c>
      <c r="C2" s="42" t="s">
        <v>98</v>
      </c>
      <c r="D2" s="59" t="s">
        <v>95</v>
      </c>
      <c r="E2" s="42" t="s">
        <v>96</v>
      </c>
      <c r="F2" s="59" t="s">
        <v>95</v>
      </c>
      <c r="G2" s="165" t="s">
        <v>97</v>
      </c>
    </row>
    <row r="3" spans="2:7" ht="13.5" customHeight="1" x14ac:dyDescent="0.25">
      <c r="B3" s="166" t="s">
        <v>34</v>
      </c>
      <c r="C3" s="170"/>
      <c r="D3" s="171"/>
      <c r="E3" s="170"/>
      <c r="F3" s="171"/>
      <c r="G3" s="172"/>
    </row>
    <row r="4" spans="2:7" x14ac:dyDescent="0.25">
      <c r="B4" s="173" t="s">
        <v>20</v>
      </c>
      <c r="C4" s="174">
        <v>34366</v>
      </c>
      <c r="D4" s="175">
        <f>C4/$C$16*100</f>
        <v>40.063418785483627</v>
      </c>
      <c r="E4" s="174">
        <f>SUM(E5:E9)</f>
        <v>32031</v>
      </c>
      <c r="F4" s="175">
        <f>E4/$E$16*100</f>
        <v>40.390144255018662</v>
      </c>
      <c r="G4" s="176">
        <f>C4/E4*100</f>
        <v>107.28981299366238</v>
      </c>
    </row>
    <row r="5" spans="2:7" x14ac:dyDescent="0.25">
      <c r="B5" s="177" t="s">
        <v>21</v>
      </c>
      <c r="C5" s="178">
        <v>28389</v>
      </c>
      <c r="D5" s="179">
        <f>C5/$C$16*100</f>
        <v>33.095512887769736</v>
      </c>
      <c r="E5" s="178">
        <v>27472</v>
      </c>
      <c r="F5" s="179">
        <f>E5/$E$16*100</f>
        <v>34.641380006052657</v>
      </c>
      <c r="G5" s="180">
        <f>C5/E5*100</f>
        <v>103.3379440885265</v>
      </c>
    </row>
    <row r="6" spans="2:7" x14ac:dyDescent="0.25">
      <c r="B6" s="177" t="s">
        <v>22</v>
      </c>
      <c r="C6" s="178">
        <v>2267</v>
      </c>
      <c r="D6" s="179">
        <f t="shared" ref="D6:D9" si="0">C6/$C$16*100</f>
        <v>2.642837990650392</v>
      </c>
      <c r="E6" s="178">
        <v>1499</v>
      </c>
      <c r="F6" s="179">
        <f t="shared" ref="F6:F9" si="1">E6/$E$16*100</f>
        <v>1.8901946938363765</v>
      </c>
      <c r="G6" s="180">
        <f t="shared" ref="G6:G9" si="2">C6/E6*100</f>
        <v>151.23415610406937</v>
      </c>
    </row>
    <row r="7" spans="2:7" x14ac:dyDescent="0.25">
      <c r="B7" s="177" t="s">
        <v>23</v>
      </c>
      <c r="C7" s="178">
        <v>1064</v>
      </c>
      <c r="D7" s="179">
        <f t="shared" si="0"/>
        <v>1.2403968337238718</v>
      </c>
      <c r="E7" s="178">
        <v>1087</v>
      </c>
      <c r="F7" s="179">
        <f t="shared" si="1"/>
        <v>1.3706748713810148</v>
      </c>
      <c r="G7" s="180">
        <f t="shared" si="2"/>
        <v>97.884084636614531</v>
      </c>
    </row>
    <row r="8" spans="2:7" ht="22.5" x14ac:dyDescent="0.25">
      <c r="B8" s="177" t="s">
        <v>25</v>
      </c>
      <c r="C8" s="178">
        <v>2112</v>
      </c>
      <c r="D8" s="179">
        <f t="shared" si="0"/>
        <v>2.462141083481971</v>
      </c>
      <c r="E8" s="178">
        <v>1503</v>
      </c>
      <c r="F8" s="179">
        <f t="shared" si="1"/>
        <v>1.8952385756077876</v>
      </c>
      <c r="G8" s="180">
        <f t="shared" si="2"/>
        <v>140.51896207584832</v>
      </c>
    </row>
    <row r="9" spans="2:7" x14ac:dyDescent="0.25">
      <c r="B9" s="177" t="s">
        <v>26</v>
      </c>
      <c r="C9" s="178">
        <v>535</v>
      </c>
      <c r="D9" s="179">
        <f t="shared" si="0"/>
        <v>0.62369577635551821</v>
      </c>
      <c r="E9" s="178">
        <v>470</v>
      </c>
      <c r="F9" s="179">
        <f t="shared" si="1"/>
        <v>0.59265610814082526</v>
      </c>
      <c r="G9" s="180">
        <f t="shared" si="2"/>
        <v>113.82978723404256</v>
      </c>
    </row>
    <row r="10" spans="2:7" x14ac:dyDescent="0.25">
      <c r="B10" s="181" t="s">
        <v>27</v>
      </c>
      <c r="C10" s="174">
        <v>51413</v>
      </c>
      <c r="D10" s="175">
        <f>C10/$C$16*100</f>
        <v>59.936581214516373</v>
      </c>
      <c r="E10" s="174">
        <f>SUM(E11:E15)</f>
        <v>47273</v>
      </c>
      <c r="F10" s="175">
        <f>E10/$E$16*100</f>
        <v>59.609855744981331</v>
      </c>
      <c r="G10" s="176">
        <f>C10/E10*100</f>
        <v>108.75764178283586</v>
      </c>
    </row>
    <row r="11" spans="2:7" x14ac:dyDescent="0.25">
      <c r="B11" s="177" t="s">
        <v>28</v>
      </c>
      <c r="C11" s="178">
        <v>27338</v>
      </c>
      <c r="D11" s="179">
        <f>C11/$C$16*100</f>
        <v>31.870271278518054</v>
      </c>
      <c r="E11" s="178">
        <v>23945</v>
      </c>
      <c r="F11" s="179">
        <f>E11/$E$16*100</f>
        <v>30.193937254110764</v>
      </c>
      <c r="G11" s="180">
        <f>C11/E11*100</f>
        <v>114.16997285445814</v>
      </c>
    </row>
    <row r="12" spans="2:7" x14ac:dyDescent="0.25">
      <c r="B12" s="177" t="s">
        <v>29</v>
      </c>
      <c r="C12" s="178">
        <v>16120</v>
      </c>
      <c r="D12" s="179">
        <f t="shared" ref="D12:D15" si="3">C12/$C$16*100</f>
        <v>18.792478345515804</v>
      </c>
      <c r="E12" s="178">
        <v>19512</v>
      </c>
      <c r="F12" s="179">
        <f t="shared" ref="F12:F14" si="4">E12/$E$16*100</f>
        <v>24.604055280944216</v>
      </c>
      <c r="G12" s="180">
        <f t="shared" ref="G12:G15" si="5">C12/E12*100</f>
        <v>82.615826158261584</v>
      </c>
    </row>
    <row r="13" spans="2:7" x14ac:dyDescent="0.25">
      <c r="B13" s="177" t="s">
        <v>30</v>
      </c>
      <c r="C13" s="178">
        <v>4098</v>
      </c>
      <c r="D13" s="179">
        <f t="shared" si="3"/>
        <v>4.7773930682334838</v>
      </c>
      <c r="E13" s="178">
        <v>2492</v>
      </c>
      <c r="F13" s="179">
        <f t="shared" si="4"/>
        <v>3.1423383435892265</v>
      </c>
      <c r="G13" s="180">
        <f t="shared" si="5"/>
        <v>164.446227929374</v>
      </c>
    </row>
    <row r="14" spans="2:7" x14ac:dyDescent="0.25">
      <c r="B14" s="177" t="s">
        <v>24</v>
      </c>
      <c r="C14" s="178">
        <v>71</v>
      </c>
      <c r="D14" s="179">
        <f>C14/$C$16*100</f>
        <v>8.2770841348115506E-2</v>
      </c>
      <c r="E14" s="178">
        <v>0</v>
      </c>
      <c r="F14" s="179">
        <f t="shared" si="4"/>
        <v>0</v>
      </c>
      <c r="G14" s="180">
        <v>0</v>
      </c>
    </row>
    <row r="15" spans="2:7" x14ac:dyDescent="0.25">
      <c r="B15" s="177" t="s">
        <v>31</v>
      </c>
      <c r="C15" s="178">
        <v>3785</v>
      </c>
      <c r="D15" s="179">
        <f t="shared" si="3"/>
        <v>4.412501894403059</v>
      </c>
      <c r="E15" s="178">
        <v>1324</v>
      </c>
      <c r="F15" s="179">
        <f>E15/$E$16*100</f>
        <v>1.6695248663371329</v>
      </c>
      <c r="G15" s="180">
        <f t="shared" si="5"/>
        <v>285.87613293051362</v>
      </c>
    </row>
    <row r="16" spans="2:7" x14ac:dyDescent="0.25">
      <c r="B16" s="173" t="s">
        <v>33</v>
      </c>
      <c r="C16" s="174">
        <v>85779</v>
      </c>
      <c r="D16" s="175">
        <f>C16/$C$16*100</f>
        <v>100</v>
      </c>
      <c r="E16" s="174">
        <f>E4+E10</f>
        <v>79304</v>
      </c>
      <c r="F16" s="175">
        <f>E16/$E$16*100</f>
        <v>100</v>
      </c>
      <c r="G16" s="176">
        <f>C16/E16*100</f>
        <v>108.16478361747201</v>
      </c>
    </row>
    <row r="17" spans="2:7" ht="11.25" customHeight="1" x14ac:dyDescent="0.25">
      <c r="B17" s="166" t="s">
        <v>35</v>
      </c>
      <c r="C17" s="167"/>
      <c r="D17" s="168"/>
      <c r="E17" s="169"/>
      <c r="F17" s="168"/>
      <c r="G17" s="182"/>
    </row>
    <row r="18" spans="2:7" x14ac:dyDescent="0.25">
      <c r="B18" s="181" t="s">
        <v>36</v>
      </c>
      <c r="C18" s="183">
        <f>SUM(C19:C24)</f>
        <v>38364</v>
      </c>
      <c r="D18" s="175">
        <f>C18/$C$16*100</f>
        <v>44.724233203931028</v>
      </c>
      <c r="E18" s="183">
        <f>SUM(E19:E24)</f>
        <v>37355</v>
      </c>
      <c r="F18" s="175">
        <f>E18/$E$16*100</f>
        <v>47.103550892767068</v>
      </c>
      <c r="G18" s="184">
        <f>C18/E18*100</f>
        <v>102.7011109623879</v>
      </c>
    </row>
    <row r="19" spans="2:7" x14ac:dyDescent="0.25">
      <c r="B19" s="177" t="s">
        <v>37</v>
      </c>
      <c r="C19" s="185">
        <v>1800</v>
      </c>
      <c r="D19" s="179">
        <f>C19/$C$16*100</f>
        <v>2.0984156961494072</v>
      </c>
      <c r="E19" s="185">
        <v>1800</v>
      </c>
      <c r="F19" s="179">
        <f>E19/$E$16*100</f>
        <v>2.2697467971350753</v>
      </c>
      <c r="G19" s="180">
        <f>C19/E19*100</f>
        <v>100</v>
      </c>
    </row>
    <row r="20" spans="2:7" ht="22.5" x14ac:dyDescent="0.25">
      <c r="B20" s="177" t="s">
        <v>38</v>
      </c>
      <c r="C20" s="185">
        <v>23815</v>
      </c>
      <c r="D20" s="179">
        <f t="shared" ref="D20:D24" si="6">C20/$C$16*100</f>
        <v>27.763205446554519</v>
      </c>
      <c r="E20" s="185">
        <v>23815</v>
      </c>
      <c r="F20" s="179">
        <f t="shared" ref="F20:F24" si="7">E20/$E$16*100</f>
        <v>30.030011096539898</v>
      </c>
      <c r="G20" s="180">
        <f t="shared" ref="G20:G23" si="8">C20/E20*100</f>
        <v>100</v>
      </c>
    </row>
    <row r="21" spans="2:7" x14ac:dyDescent="0.25">
      <c r="B21" s="177" t="s">
        <v>39</v>
      </c>
      <c r="C21" s="185">
        <v>10435</v>
      </c>
      <c r="D21" s="179">
        <f t="shared" si="6"/>
        <v>12.164982105177257</v>
      </c>
      <c r="E21" s="185">
        <v>7386</v>
      </c>
      <c r="F21" s="179">
        <f t="shared" si="7"/>
        <v>9.3135276909109255</v>
      </c>
      <c r="G21" s="180">
        <f t="shared" si="8"/>
        <v>141.28080151638233</v>
      </c>
    </row>
    <row r="22" spans="2:7" x14ac:dyDescent="0.25">
      <c r="B22" s="177" t="s">
        <v>106</v>
      </c>
      <c r="C22" s="185">
        <v>19</v>
      </c>
      <c r="D22" s="179">
        <f>C22/$C$16*100</f>
        <v>2.2149943459354855E-2</v>
      </c>
      <c r="E22" s="185">
        <v>19</v>
      </c>
      <c r="F22" s="179">
        <f>E22/$E$16*100</f>
        <v>2.3958438414203573E-2</v>
      </c>
      <c r="G22" s="180">
        <f t="shared" si="8"/>
        <v>100</v>
      </c>
    </row>
    <row r="23" spans="2:7" x14ac:dyDescent="0.25">
      <c r="B23" s="177" t="s">
        <v>40</v>
      </c>
      <c r="C23" s="185">
        <v>2508</v>
      </c>
      <c r="D23" s="179">
        <f t="shared" si="6"/>
        <v>2.9237925366348407</v>
      </c>
      <c r="E23" s="185">
        <v>4328</v>
      </c>
      <c r="F23" s="179">
        <f t="shared" si="7"/>
        <v>5.4574800766670029</v>
      </c>
      <c r="G23" s="180">
        <f t="shared" si="8"/>
        <v>57.948243992606287</v>
      </c>
    </row>
    <row r="24" spans="2:7" x14ac:dyDescent="0.25">
      <c r="B24" s="177" t="s">
        <v>107</v>
      </c>
      <c r="C24" s="185">
        <v>-213</v>
      </c>
      <c r="D24" s="179">
        <f t="shared" si="6"/>
        <v>-0.24831252404434651</v>
      </c>
      <c r="E24" s="185">
        <v>7</v>
      </c>
      <c r="F24" s="179">
        <f t="shared" si="7"/>
        <v>8.8267930999697368E-3</v>
      </c>
      <c r="G24" s="180">
        <f>C24/E24*100</f>
        <v>-3042.8571428571427</v>
      </c>
    </row>
    <row r="25" spans="2:7" x14ac:dyDescent="0.25">
      <c r="B25" s="181" t="s">
        <v>41</v>
      </c>
      <c r="C25" s="183">
        <f>SUM(C26:C30)</f>
        <v>5194</v>
      </c>
      <c r="D25" s="175">
        <f>C25/$C$16*100</f>
        <v>6.0550950698889006</v>
      </c>
      <c r="E25" s="183">
        <f>SUM(E26:E30)</f>
        <v>4937</v>
      </c>
      <c r="F25" s="175">
        <f>E25/$E$16*100</f>
        <v>6.2254110763643702</v>
      </c>
      <c r="G25" s="184">
        <f>C25/E25*100</f>
        <v>105.20559043953818</v>
      </c>
    </row>
    <row r="26" spans="2:7" ht="33.75" x14ac:dyDescent="0.25">
      <c r="B26" s="177" t="s">
        <v>108</v>
      </c>
      <c r="C26" s="185">
        <v>3232</v>
      </c>
      <c r="D26" s="179">
        <f>C26/$C$16*100</f>
        <v>3.7678219610860464</v>
      </c>
      <c r="E26" s="185">
        <v>2911</v>
      </c>
      <c r="F26" s="179">
        <f>E26/$E$16*100</f>
        <v>3.6706849591445581</v>
      </c>
      <c r="G26" s="180">
        <f>C26/E26*100</f>
        <v>111.02713844039849</v>
      </c>
    </row>
    <row r="27" spans="2:7" ht="22.5" x14ac:dyDescent="0.25">
      <c r="B27" s="177" t="s">
        <v>109</v>
      </c>
      <c r="C27" s="185">
        <v>82</v>
      </c>
      <c r="D27" s="179">
        <f t="shared" ref="D27:D30" si="9">C27/$C$16*100</f>
        <v>9.5594492824584112E-2</v>
      </c>
      <c r="E27" s="185">
        <v>74</v>
      </c>
      <c r="F27" s="179">
        <f t="shared" ref="F27:F30" si="10">E27/$E$16*100</f>
        <v>9.3311812771108643E-2</v>
      </c>
      <c r="G27" s="180">
        <f t="shared" ref="G27:G30" si="11">C27/E27*100</f>
        <v>110.81081081081081</v>
      </c>
    </row>
    <row r="28" spans="2:7" x14ac:dyDescent="0.25">
      <c r="B28" s="177" t="s">
        <v>110</v>
      </c>
      <c r="C28" s="185">
        <v>552</v>
      </c>
      <c r="D28" s="179">
        <f t="shared" si="9"/>
        <v>0.64351414681915153</v>
      </c>
      <c r="E28" s="185">
        <v>747</v>
      </c>
      <c r="F28" s="179">
        <f t="shared" si="10"/>
        <v>0.94194492081105619</v>
      </c>
      <c r="G28" s="180">
        <f t="shared" si="11"/>
        <v>73.895582329317264</v>
      </c>
    </row>
    <row r="29" spans="2:7" ht="22.5" x14ac:dyDescent="0.25">
      <c r="B29" s="177" t="s">
        <v>42</v>
      </c>
      <c r="C29" s="185">
        <v>278</v>
      </c>
      <c r="D29" s="179">
        <f>C29/$C$16*100</f>
        <v>0.32408864640529733</v>
      </c>
      <c r="E29" s="185">
        <v>155</v>
      </c>
      <c r="F29" s="179">
        <f>E29/$E$16*100</f>
        <v>0.19545041864218704</v>
      </c>
      <c r="G29" s="180">
        <f>C29/E29*100</f>
        <v>179.35483870967741</v>
      </c>
    </row>
    <row r="30" spans="2:7" x14ac:dyDescent="0.25">
      <c r="B30" s="177" t="s">
        <v>43</v>
      </c>
      <c r="C30" s="185">
        <v>1050</v>
      </c>
      <c r="D30" s="179">
        <f t="shared" si="9"/>
        <v>1.2240758227538209</v>
      </c>
      <c r="E30" s="185">
        <v>1050</v>
      </c>
      <c r="F30" s="179">
        <f t="shared" si="10"/>
        <v>1.3240189649954606</v>
      </c>
      <c r="G30" s="180">
        <f t="shared" si="11"/>
        <v>100</v>
      </c>
    </row>
    <row r="31" spans="2:7" x14ac:dyDescent="0.25">
      <c r="B31" s="181" t="s">
        <v>44</v>
      </c>
      <c r="C31" s="183">
        <f>SUM(C32:C38)+1</f>
        <v>42221</v>
      </c>
      <c r="D31" s="175">
        <f>C31/$C$16*100</f>
        <v>49.220671726180065</v>
      </c>
      <c r="E31" s="183">
        <f>SUM(E32:E38)</f>
        <v>37012</v>
      </c>
      <c r="F31" s="175">
        <f>E31/$E$16*100</f>
        <v>46.671038030868559</v>
      </c>
      <c r="G31" s="184">
        <f>C31/E31*100</f>
        <v>114.07381389819517</v>
      </c>
    </row>
    <row r="32" spans="2:7" ht="33.75" x14ac:dyDescent="0.25">
      <c r="B32" s="177" t="s">
        <v>108</v>
      </c>
      <c r="C32" s="185">
        <v>15219</v>
      </c>
      <c r="D32" s="179">
        <f>C32/$C$16*100</f>
        <v>17.742104710943238</v>
      </c>
      <c r="E32" s="185">
        <v>13569</v>
      </c>
      <c r="F32" s="179">
        <f>E32/$E$16*100</f>
        <v>17.110107939069906</v>
      </c>
      <c r="G32" s="180">
        <f>C32/E32*100</f>
        <v>112.16007074950254</v>
      </c>
    </row>
    <row r="33" spans="2:7" ht="22.5" x14ac:dyDescent="0.25">
      <c r="B33" s="177" t="s">
        <v>109</v>
      </c>
      <c r="C33" s="185">
        <v>2837</v>
      </c>
      <c r="D33" s="179">
        <f t="shared" ref="D33:D38" si="12">C33/$C$16*100</f>
        <v>3.307336294431038</v>
      </c>
      <c r="E33" s="185">
        <v>2951</v>
      </c>
      <c r="F33" s="179">
        <f t="shared" ref="F33:F38" si="13">E33/$E$16*100</f>
        <v>3.7211237768586702</v>
      </c>
      <c r="G33" s="180">
        <f t="shared" ref="G33:G38" si="14">C33/E33*100</f>
        <v>96.13690274483227</v>
      </c>
    </row>
    <row r="34" spans="2:7" x14ac:dyDescent="0.25">
      <c r="B34" s="177" t="s">
        <v>110</v>
      </c>
      <c r="C34" s="185">
        <v>195</v>
      </c>
      <c r="D34" s="179">
        <f t="shared" si="12"/>
        <v>0.22732836708285242</v>
      </c>
      <c r="E34" s="185">
        <v>226</v>
      </c>
      <c r="F34" s="179">
        <f t="shared" si="13"/>
        <v>0.2849793200847372</v>
      </c>
      <c r="G34" s="180">
        <f t="shared" si="14"/>
        <v>86.283185840707972</v>
      </c>
    </row>
    <row r="35" spans="2:7" x14ac:dyDescent="0.25">
      <c r="B35" s="177" t="s">
        <v>45</v>
      </c>
      <c r="C35" s="185">
        <v>22486</v>
      </c>
      <c r="D35" s="179">
        <f t="shared" si="12"/>
        <v>26.213875190897539</v>
      </c>
      <c r="E35" s="185">
        <v>19336</v>
      </c>
      <c r="F35" s="179">
        <f>E35/$E$16*100</f>
        <v>24.382124483002119</v>
      </c>
      <c r="G35" s="180">
        <f t="shared" si="14"/>
        <v>116.29085643359535</v>
      </c>
    </row>
    <row r="36" spans="2:7" x14ac:dyDescent="0.25">
      <c r="B36" s="186" t="s">
        <v>46</v>
      </c>
      <c r="C36" s="185">
        <v>470</v>
      </c>
      <c r="D36" s="179">
        <f t="shared" si="12"/>
        <v>0.54791965399456743</v>
      </c>
      <c r="E36" s="185">
        <v>0</v>
      </c>
      <c r="F36" s="179">
        <f t="shared" si="13"/>
        <v>0</v>
      </c>
      <c r="G36" s="180">
        <v>0</v>
      </c>
    </row>
    <row r="37" spans="2:7" x14ac:dyDescent="0.25">
      <c r="B37" s="177" t="s">
        <v>47</v>
      </c>
      <c r="C37" s="185">
        <v>69</v>
      </c>
      <c r="D37" s="179">
        <f t="shared" si="12"/>
        <v>8.0439268352393942E-2</v>
      </c>
      <c r="E37" s="185">
        <v>45</v>
      </c>
      <c r="F37" s="179">
        <f>E37/$E$16*100</f>
        <v>5.6743669928376872E-2</v>
      </c>
      <c r="G37" s="180">
        <f t="shared" si="14"/>
        <v>153.33333333333334</v>
      </c>
    </row>
    <row r="38" spans="2:7" x14ac:dyDescent="0.25">
      <c r="B38" s="177" t="s">
        <v>43</v>
      </c>
      <c r="C38" s="185">
        <v>944</v>
      </c>
      <c r="D38" s="179">
        <f t="shared" si="12"/>
        <v>1.1005024539805781</v>
      </c>
      <c r="E38" s="185">
        <v>885</v>
      </c>
      <c r="F38" s="179">
        <f t="shared" si="13"/>
        <v>1.1159588419247453</v>
      </c>
      <c r="G38" s="180">
        <f t="shared" si="14"/>
        <v>106.66666666666667</v>
      </c>
    </row>
    <row r="39" spans="2:7" ht="15.75" thickBot="1" x14ac:dyDescent="0.3">
      <c r="B39" s="187" t="s">
        <v>48</v>
      </c>
      <c r="C39" s="188">
        <f>C18+C25+C31</f>
        <v>85779</v>
      </c>
      <c r="D39" s="189">
        <f>C39/$C$16*100</f>
        <v>100</v>
      </c>
      <c r="E39" s="188">
        <f>E18+E25+E31</f>
        <v>79304</v>
      </c>
      <c r="F39" s="189">
        <f>E39/$E$16*100</f>
        <v>100</v>
      </c>
      <c r="G39" s="190">
        <f>C39/E39*100</f>
        <v>108.16478361747201</v>
      </c>
    </row>
    <row r="40" spans="2:7" ht="15.75" thickTop="1" x14ac:dyDescent="0.25"/>
  </sheetData>
  <pageMargins left="0.19685039370078741" right="0.11811023622047245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RZiS LLF LUG </vt:lpstr>
      <vt:lpstr>Sk. spr.z cał.doch. LLF LUG</vt:lpstr>
      <vt:lpstr>Bilans LLF LUG </vt:lpstr>
      <vt:lpstr>Zest.zmian w kap.wł. LLF LUG</vt:lpstr>
      <vt:lpstr>Rach.przep.pienięż LLF LUG</vt:lpstr>
      <vt:lpstr>Wybrane dane finansowe LLF LUG </vt:lpstr>
      <vt:lpstr>Wskaźniki finansowe LLF LUG </vt:lpstr>
      <vt:lpstr>Kursy walut</vt:lpstr>
      <vt:lpstr>Struktura aktywów i pasywów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2014-06-12T08:31:12Z</cp:lastPrinted>
  <dcterms:created xsi:type="dcterms:W3CDTF">2013-11-04T11:55:12Z</dcterms:created>
  <dcterms:modified xsi:type="dcterms:W3CDTF">2014-06-16T07:31:07Z</dcterms:modified>
</cp:coreProperties>
</file>